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IBEKE\Hstyre 20\30.03.2020\"/>
    </mc:Choice>
  </mc:AlternateContent>
  <bookViews>
    <workbookView xWindow="-120" yWindow="-120" windowWidth="29040" windowHeight="15840" activeTab="1"/>
  </bookViews>
  <sheets>
    <sheet name="konsdrift19" sheetId="1" r:id="rId1"/>
    <sheet name="konsbal19" sheetId="2" r:id="rId2"/>
  </sheets>
  <definedNames>
    <definedName name="_xlnm.Print_Area" localSheetId="1">konsbal19!$A$1:$F$86</definedName>
    <definedName name="_xlnm.Print_Area" localSheetId="0">konsdrift19!$A$1:$G$57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E47" i="2"/>
  <c r="E65" i="2" l="1"/>
  <c r="E29" i="2"/>
  <c r="A67" i="2" l="1"/>
  <c r="B67" i="2"/>
  <c r="A70" i="2"/>
  <c r="K19" i="2" l="1"/>
  <c r="K47" i="2" s="1"/>
  <c r="A71" i="2" l="1"/>
  <c r="A47" i="2"/>
  <c r="E67" i="2"/>
  <c r="A23" i="1"/>
  <c r="E36" i="2" l="1"/>
  <c r="G46" i="1"/>
  <c r="F46" i="1"/>
  <c r="F34" i="1"/>
  <c r="F25" i="1"/>
  <c r="F13" i="1"/>
  <c r="F12" i="1"/>
  <c r="F9" i="1"/>
  <c r="Q23" i="1" l="1"/>
  <c r="F23" i="1" s="1"/>
  <c r="E70" i="2" l="1"/>
  <c r="E55" i="2"/>
  <c r="E48" i="2"/>
  <c r="J47" i="2"/>
  <c r="E35" i="2"/>
  <c r="E30" i="2"/>
  <c r="E21" i="2"/>
  <c r="E20" i="2"/>
  <c r="E18" i="2" l="1"/>
  <c r="E12" i="2"/>
  <c r="E11" i="2"/>
  <c r="E10" i="2"/>
  <c r="E9" i="2"/>
  <c r="E8" i="2"/>
  <c r="E7" i="2"/>
  <c r="F38" i="1"/>
  <c r="F22" i="2" l="1"/>
  <c r="F32" i="1" l="1"/>
  <c r="F26" i="1"/>
  <c r="F24" i="1"/>
  <c r="F22" i="1"/>
  <c r="F17" i="1"/>
  <c r="F16" i="1"/>
  <c r="F15" i="1"/>
  <c r="F14" i="1"/>
  <c r="G10" i="1" l="1"/>
  <c r="G8" i="1"/>
  <c r="F8" i="1"/>
  <c r="A21" i="1"/>
  <c r="F21" i="1" s="1"/>
  <c r="B71" i="2" l="1"/>
  <c r="B62" i="2"/>
  <c r="B56" i="2"/>
  <c r="B50" i="2"/>
  <c r="B37" i="2"/>
  <c r="B31" i="2"/>
  <c r="B22" i="2"/>
  <c r="B14" i="2"/>
  <c r="B39" i="1"/>
  <c r="B35" i="1"/>
  <c r="B41" i="1" s="1"/>
  <c r="B27" i="1"/>
  <c r="B9" i="1"/>
  <c r="B18" i="1" s="1"/>
  <c r="B39" i="2" l="1"/>
  <c r="B29" i="1"/>
  <c r="B44" i="1" s="1"/>
  <c r="B49" i="1" s="1"/>
  <c r="B52" i="1" s="1"/>
  <c r="B56" i="1" s="1"/>
  <c r="B57" i="1" s="1"/>
  <c r="B73" i="2"/>
  <c r="B75" i="2" s="1"/>
  <c r="B24" i="2"/>
  <c r="Q11" i="1" l="1"/>
  <c r="F11" i="1" s="1"/>
  <c r="F61" i="2" l="1"/>
  <c r="A22" i="2" l="1"/>
  <c r="A27" i="1" l="1"/>
  <c r="A39" i="1" l="1"/>
  <c r="A18" i="1"/>
  <c r="F48" i="2"/>
  <c r="F50" i="2" s="1"/>
  <c r="F35" i="2"/>
  <c r="A29" i="1" l="1"/>
  <c r="L34" i="1" l="1"/>
  <c r="J8" i="1" l="1"/>
  <c r="L18" i="1"/>
  <c r="L27" i="1"/>
  <c r="L35" i="1"/>
  <c r="L39" i="1"/>
  <c r="J9" i="1"/>
  <c r="I9" i="1" s="1"/>
  <c r="J10" i="1"/>
  <c r="I10" i="1" s="1"/>
  <c r="J11" i="1"/>
  <c r="J12" i="1"/>
  <c r="I12" i="1" s="1"/>
  <c r="J14" i="1"/>
  <c r="I14" i="1" s="1"/>
  <c r="J15" i="1"/>
  <c r="I15" i="1" s="1"/>
  <c r="J16" i="1"/>
  <c r="I16" i="1" s="1"/>
  <c r="J17" i="1"/>
  <c r="J38" i="1"/>
  <c r="J56" i="1"/>
  <c r="J57" i="1"/>
  <c r="J22" i="1"/>
  <c r="I22" i="1" s="1"/>
  <c r="J23" i="1"/>
  <c r="I23" i="1" s="1"/>
  <c r="J24" i="1"/>
  <c r="I24" i="1" s="1"/>
  <c r="J25" i="1"/>
  <c r="I25" i="1" s="1"/>
  <c r="J26" i="1"/>
  <c r="I26" i="1" s="1"/>
  <c r="J32" i="1"/>
  <c r="I32" i="1" s="1"/>
  <c r="J46" i="1"/>
  <c r="J21" i="1"/>
  <c r="I17" i="1"/>
  <c r="I13" i="1"/>
  <c r="L41" i="1" l="1"/>
  <c r="I46" i="1"/>
  <c r="K46" i="1" s="1"/>
  <c r="J27" i="1"/>
  <c r="L29" i="1"/>
  <c r="I38" i="1"/>
  <c r="I39" i="1" s="1"/>
  <c r="J39" i="1"/>
  <c r="J34" i="1"/>
  <c r="J18" i="1"/>
  <c r="L44" i="1" l="1"/>
  <c r="L49" i="1" s="1"/>
  <c r="J29" i="1"/>
  <c r="I34" i="1"/>
  <c r="J35" i="1"/>
  <c r="J41" i="1" s="1"/>
  <c r="L52" i="1"/>
  <c r="J52" i="1" s="1"/>
  <c r="I11" i="1" l="1"/>
  <c r="J44" i="1"/>
  <c r="J49" i="1" s="1"/>
  <c r="E60" i="2"/>
  <c r="E59" i="2"/>
  <c r="E22" i="2"/>
  <c r="F7" i="2"/>
  <c r="A14" i="2"/>
  <c r="A24" i="2" l="1"/>
  <c r="K38" i="1"/>
  <c r="Q41" i="1"/>
  <c r="K34" i="1"/>
  <c r="K32" i="1"/>
  <c r="K12" i="1"/>
  <c r="K11" i="1"/>
  <c r="K25" i="1"/>
  <c r="K23" i="1"/>
  <c r="K13" i="1" l="1"/>
  <c r="K9" i="1"/>
  <c r="Q10" i="1"/>
  <c r="K16" i="1"/>
  <c r="G39" i="1"/>
  <c r="F56" i="2"/>
  <c r="F37" i="2"/>
  <c r="F12" i="2"/>
  <c r="F9" i="2"/>
  <c r="F8" i="2"/>
  <c r="Q57" i="1" l="1"/>
  <c r="F10" i="1"/>
  <c r="I21" i="1"/>
  <c r="F14" i="2"/>
  <c r="F39" i="2" s="1"/>
  <c r="F62" i="2"/>
  <c r="G18" i="1"/>
  <c r="G27" i="1"/>
  <c r="F71" i="2"/>
  <c r="F31" i="2"/>
  <c r="G35" i="1"/>
  <c r="G41" i="1" s="1"/>
  <c r="F18" i="1" l="1"/>
  <c r="K10" i="1"/>
  <c r="F73" i="2"/>
  <c r="F75" i="2" s="1"/>
  <c r="F24" i="2"/>
  <c r="G29" i="1"/>
  <c r="G44" i="1" s="1"/>
  <c r="G49" i="1" s="1"/>
  <c r="G52" i="1" s="1"/>
  <c r="G56" i="1" s="1"/>
  <c r="G57" i="1" s="1"/>
  <c r="K26" i="1" l="1"/>
  <c r="A56" i="2" l="1"/>
  <c r="A62" i="2"/>
  <c r="A73" i="2" s="1"/>
  <c r="K17" i="1" l="1"/>
  <c r="E71" i="2" l="1"/>
  <c r="E61" i="2"/>
  <c r="E14" i="2" l="1"/>
  <c r="E24" i="2" s="1"/>
  <c r="I27" i="1"/>
  <c r="E56" i="2" l="1"/>
  <c r="K21" i="1" l="1"/>
  <c r="K24" i="1"/>
  <c r="K22" i="1"/>
  <c r="K14" i="1"/>
  <c r="F27" i="1" l="1"/>
  <c r="K27" i="1" l="1"/>
  <c r="A35" i="1"/>
  <c r="A37" i="2"/>
  <c r="A31" i="2"/>
  <c r="A41" i="1" l="1"/>
  <c r="A44" i="1" s="1"/>
  <c r="I35" i="1"/>
  <c r="I41" i="1" s="1"/>
  <c r="K15" i="1"/>
  <c r="A39" i="2"/>
  <c r="E37" i="2"/>
  <c r="E31" i="2"/>
  <c r="F39" i="1"/>
  <c r="F35" i="1"/>
  <c r="E39" i="2" l="1"/>
  <c r="E62" i="2"/>
  <c r="E73" i="2" s="1"/>
  <c r="F41" i="1"/>
  <c r="K41" i="1" s="1"/>
  <c r="F29" i="1"/>
  <c r="A49" i="1" l="1"/>
  <c r="A52" i="1" s="1"/>
  <c r="I44" i="1"/>
  <c r="F44" i="1"/>
  <c r="F49" i="1" s="1"/>
  <c r="I49" i="1" l="1"/>
  <c r="K49" i="1" s="1"/>
  <c r="F52" i="1"/>
  <c r="F56" i="1" s="1"/>
  <c r="K44" i="1"/>
  <c r="A56" i="1"/>
  <c r="I52" i="1" l="1"/>
  <c r="K52" i="1" s="1"/>
  <c r="F57" i="1"/>
  <c r="A57" i="1"/>
  <c r="I56" i="1"/>
  <c r="I57" i="1" l="1"/>
  <c r="K57" i="1" s="1"/>
  <c r="K56" i="1"/>
  <c r="I8" i="1"/>
  <c r="I29" i="1"/>
  <c r="K29" i="1" s="1"/>
  <c r="A50" i="2" l="1"/>
  <c r="A75" i="2" s="1"/>
  <c r="I18" i="1"/>
  <c r="K18" i="1" s="1"/>
  <c r="K8" i="1"/>
  <c r="E50" i="2" l="1"/>
  <c r="E75" i="2" l="1"/>
</calcChain>
</file>

<file path=xl/sharedStrings.xml><?xml version="1.0" encoding="utf-8"?>
<sst xmlns="http://schemas.openxmlformats.org/spreadsheetml/2006/main" count="124" uniqueCount="112">
  <si>
    <t>DRIFTSINNTEKTER</t>
  </si>
  <si>
    <t>Kranleier</t>
  </si>
  <si>
    <t>Andre salgsinntekter</t>
  </si>
  <si>
    <t>Administrasjonsinntekter</t>
  </si>
  <si>
    <t>Leieinntekter, arealer</t>
  </si>
  <si>
    <t>Leieinntekter, lagerhus</t>
  </si>
  <si>
    <t>Avgifter, fartøy</t>
  </si>
  <si>
    <t>Avgifter, varer</t>
  </si>
  <si>
    <t>Sum driftsinntekter</t>
  </si>
  <si>
    <t>DRIFTSKOSTNADER</t>
  </si>
  <si>
    <t xml:space="preserve">Lønn og andre sos. kostn.     </t>
  </si>
  <si>
    <t xml:space="preserve">Andre driftskostnader             </t>
  </si>
  <si>
    <t>Tap på fordringer</t>
  </si>
  <si>
    <t xml:space="preserve">Avskrivninger                         </t>
  </si>
  <si>
    <t>Sum driftskostnader</t>
  </si>
  <si>
    <t>DRIFTSRESULTAT</t>
  </si>
  <si>
    <t>Renteinntekter</t>
  </si>
  <si>
    <t>Finanskostnader</t>
  </si>
  <si>
    <t>Konsern</t>
  </si>
  <si>
    <t>EIENDELER</t>
  </si>
  <si>
    <t>Anleggsmidler</t>
  </si>
  <si>
    <t>Varige driftsmidler</t>
  </si>
  <si>
    <t>Transportmidler</t>
  </si>
  <si>
    <t>Mask., verkt., inv. o.l.</t>
  </si>
  <si>
    <t>Bygn. og bygn.m.anl.</t>
  </si>
  <si>
    <t>Tomter/kaier/jernb.spor</t>
  </si>
  <si>
    <t>Sum varige driftsmidler</t>
  </si>
  <si>
    <t>Finansielle anleggsmidler</t>
  </si>
  <si>
    <t>Aksjer</t>
  </si>
  <si>
    <t>Sum finansielle anleggsmidler</t>
  </si>
  <si>
    <t>Sum anleggsmidler</t>
  </si>
  <si>
    <t>Omløpsmidler</t>
  </si>
  <si>
    <t>Fordringer</t>
  </si>
  <si>
    <t>Kundefordringer</t>
  </si>
  <si>
    <t>Andre fordringer</t>
  </si>
  <si>
    <t>Sum  fordringer</t>
  </si>
  <si>
    <t>Kasse</t>
  </si>
  <si>
    <t>Sum eiendeler</t>
  </si>
  <si>
    <t>Egenkapital og gjeld</t>
  </si>
  <si>
    <t>Opptjent egenkapital</t>
  </si>
  <si>
    <t>Kapitalkonto</t>
  </si>
  <si>
    <t>Frie fond</t>
  </si>
  <si>
    <t>Sum egenkapital</t>
  </si>
  <si>
    <t>Pantelån</t>
  </si>
  <si>
    <t>Leverandørgjeld</t>
  </si>
  <si>
    <t>Offentlige avgifter</t>
  </si>
  <si>
    <t>Annen kortsiktig gjeld</t>
  </si>
  <si>
    <t>Sum gjeld</t>
  </si>
  <si>
    <t>SUM GJELD OG EGENKAPITAL</t>
  </si>
  <si>
    <t>Finansinntekter</t>
  </si>
  <si>
    <t>Langsiktig gjeld</t>
  </si>
  <si>
    <t>Kortsiktig gjeld</t>
  </si>
  <si>
    <t>Bankinnskudd</t>
  </si>
  <si>
    <t>Skattekostnad på ordinært resultat</t>
  </si>
  <si>
    <t>Resultat før skattekostnad</t>
  </si>
  <si>
    <t>Endring pensjonsforpliktelser</t>
  </si>
  <si>
    <t>Lån Kommunalbanken</t>
  </si>
  <si>
    <t>Sum kortsiktig gjeld</t>
  </si>
  <si>
    <t>Sum langsiktig gjeld</t>
  </si>
  <si>
    <t>Utsatt skatt</t>
  </si>
  <si>
    <t>Betalbar skatt, ikke utlignet</t>
  </si>
  <si>
    <t>Lån Sparebanken Øst</t>
  </si>
  <si>
    <t>Neste års avdrag lån</t>
  </si>
  <si>
    <t>Annen finansinntekt</t>
  </si>
  <si>
    <t>Morselskap</t>
  </si>
  <si>
    <t>Overføring annen egenkapital</t>
  </si>
  <si>
    <t>BALANSE KONSERN - DRAMMEN HAVN</t>
  </si>
  <si>
    <t xml:space="preserve">Ansvarlig lån </t>
  </si>
  <si>
    <t>Note</t>
  </si>
  <si>
    <t>EGENKAPITAL OG GJELD</t>
  </si>
  <si>
    <t>Gjeld</t>
  </si>
  <si>
    <t>Avsetning for forpliktelser</t>
  </si>
  <si>
    <t>Pensjonsforpliktelser</t>
  </si>
  <si>
    <t>Sum avsetning for forpliktelser</t>
  </si>
  <si>
    <t>Resultat av finansposter</t>
  </si>
  <si>
    <t>Sum finansinntekter</t>
  </si>
  <si>
    <t>Sum finanskostnader</t>
  </si>
  <si>
    <t>Overføringer</t>
  </si>
  <si>
    <t>Sum overføringer</t>
  </si>
  <si>
    <t>ÅRSRESULTAT</t>
  </si>
  <si>
    <t>ORDINÆRT RESULTAT</t>
  </si>
  <si>
    <t>RESULTATREGNSKAP KONSERN - DRAMMEN HAVN</t>
  </si>
  <si>
    <t>I styret for Drammen Havn</t>
  </si>
  <si>
    <t>Johan Bauman</t>
  </si>
  <si>
    <t>Anita Winsnes</t>
  </si>
  <si>
    <t>Styreleder</t>
  </si>
  <si>
    <t>Styremedlem</t>
  </si>
  <si>
    <t>Søren Falch Zapffe</t>
  </si>
  <si>
    <t>Hege Gunnerud</t>
  </si>
  <si>
    <t>Einar Olsen, havnedirektør</t>
  </si>
  <si>
    <t>Utbytte</t>
  </si>
  <si>
    <t>Nedskrvn. varige driftsmidler</t>
  </si>
  <si>
    <t>Gev. ved salg av anl.midler</t>
  </si>
  <si>
    <t>Sum likvider</t>
  </si>
  <si>
    <t>Leieinntekter, kontorlokaler</t>
  </si>
  <si>
    <t>Aktiverte utfyllinger</t>
  </si>
  <si>
    <t>Drammen Havn Lierterm</t>
  </si>
  <si>
    <t>Elimineringer</t>
  </si>
  <si>
    <t>Diff</t>
  </si>
  <si>
    <t>DRM HAVN</t>
  </si>
  <si>
    <t>Lierterm</t>
  </si>
  <si>
    <t>Immaterielle eiendeler</t>
  </si>
  <si>
    <t>EIDOS</t>
  </si>
  <si>
    <t>Gevinst ved salg</t>
  </si>
  <si>
    <t>Inntekt invest. i tilknyttet selskap</t>
  </si>
  <si>
    <t>Morten Hansen</t>
  </si>
  <si>
    <t>Langsiktig fondsplassering</t>
  </si>
  <si>
    <t>Overfin. Av pensjonsmidler</t>
  </si>
  <si>
    <t>Drammen, 23.03.2020</t>
  </si>
  <si>
    <t xml:space="preserve"> </t>
  </si>
  <si>
    <t>Her har jeg korigert , det må bli +Q11 ikke - som du hadde</t>
  </si>
  <si>
    <t>Eivind Knudsen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</si>
</sst>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2"/>
      <name val="Times New Roman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3" fillId="0" borderId="0" xfId="0" applyNumberFormat="1" applyFont="1"/>
    <xf numFmtId="3" fontId="6" fillId="0" borderId="0" xfId="0" applyNumberFormat="1" applyFont="1"/>
    <xf numFmtId="0" fontId="6" fillId="0" borderId="0" xfId="0" applyFont="1" applyFill="1"/>
    <xf numFmtId="0" fontId="6" fillId="0" borderId="0" xfId="0" applyFont="1"/>
    <xf numFmtId="3" fontId="4" fillId="0" borderId="0" xfId="0" applyNumberFormat="1" applyFont="1"/>
    <xf numFmtId="3" fontId="3" fillId="0" borderId="1" xfId="0" applyNumberFormat="1" applyFont="1" applyBorder="1"/>
    <xf numFmtId="3" fontId="3" fillId="0" borderId="0" xfId="0" applyNumberFormat="1" applyFont="1" applyBorder="1"/>
    <xf numFmtId="0" fontId="7" fillId="0" borderId="0" xfId="0" applyFont="1"/>
    <xf numFmtId="3" fontId="0" fillId="0" borderId="0" xfId="0" applyNumberFormat="1"/>
    <xf numFmtId="3" fontId="6" fillId="0" borderId="0" xfId="0" applyNumberFormat="1" applyFont="1" applyBorder="1"/>
    <xf numFmtId="0" fontId="2" fillId="0" borderId="0" xfId="0" applyFont="1" applyBorder="1"/>
    <xf numFmtId="4" fontId="0" fillId="0" borderId="0" xfId="0" applyNumberForma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165" fontId="2" fillId="0" borderId="0" xfId="1" applyNumberFormat="1" applyFont="1"/>
    <xf numFmtId="165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7" fillId="0" borderId="0" xfId="0" applyFont="1" applyFill="1"/>
    <xf numFmtId="4" fontId="0" fillId="0" borderId="0" xfId="0" applyNumberFormat="1" applyFill="1"/>
    <xf numFmtId="3" fontId="3" fillId="0" borderId="3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2" fillId="2" borderId="0" xfId="1" applyNumberFormat="1" applyFont="1" applyFill="1"/>
    <xf numFmtId="165" fontId="2" fillId="3" borderId="0" xfId="0" applyNumberFormat="1" applyFont="1" applyFill="1"/>
    <xf numFmtId="165" fontId="2" fillId="3" borderId="0" xfId="1" applyNumberFormat="1" applyFont="1" applyFill="1"/>
    <xf numFmtId="165" fontId="2" fillId="2" borderId="1" xfId="1" applyNumberFormat="1" applyFont="1" applyFill="1" applyBorder="1"/>
    <xf numFmtId="165" fontId="3" fillId="2" borderId="0" xfId="1" applyNumberFormat="1" applyFont="1" applyFill="1"/>
    <xf numFmtId="165" fontId="3" fillId="2" borderId="1" xfId="1" applyNumberFormat="1" applyFont="1" applyFill="1" applyBorder="1"/>
    <xf numFmtId="3" fontId="2" fillId="0" borderId="4" xfId="0" applyNumberFormat="1" applyFont="1" applyBorder="1"/>
    <xf numFmtId="165" fontId="2" fillId="2" borderId="4" xfId="1" applyNumberFormat="1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5" fontId="3" fillId="0" borderId="0" xfId="1" applyNumberFormat="1" applyFont="1" applyAlignment="1">
      <alignment horizontal="center" wrapText="1"/>
    </xf>
    <xf numFmtId="3" fontId="2" fillId="0" borderId="0" xfId="0" applyNumberFormat="1" applyFont="1" applyBorder="1"/>
    <xf numFmtId="165" fontId="2" fillId="2" borderId="0" xfId="1" applyNumberFormat="1" applyFont="1" applyFill="1" applyBorder="1"/>
    <xf numFmtId="165" fontId="2" fillId="3" borderId="5" xfId="0" applyNumberFormat="1" applyFont="1" applyFill="1" applyBorder="1"/>
    <xf numFmtId="165" fontId="3" fillId="3" borderId="5" xfId="0" applyNumberFormat="1" applyFont="1" applyFill="1" applyBorder="1"/>
    <xf numFmtId="165" fontId="2" fillId="3" borderId="5" xfId="1" applyNumberFormat="1" applyFont="1" applyFill="1" applyBorder="1"/>
    <xf numFmtId="165" fontId="2" fillId="4" borderId="0" xfId="1" applyNumberFormat="1" applyFont="1" applyFill="1"/>
    <xf numFmtId="165" fontId="2" fillId="0" borderId="0" xfId="0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11" fillId="0" borderId="0" xfId="0" applyFont="1" applyFill="1"/>
    <xf numFmtId="3" fontId="11" fillId="0" borderId="0" xfId="0" applyNumberFormat="1" applyFont="1" applyFill="1"/>
    <xf numFmtId="165" fontId="2" fillId="3" borderId="0" xfId="0" applyNumberFormat="1" applyFont="1" applyFill="1" applyBorder="1"/>
    <xf numFmtId="165" fontId="2" fillId="3" borderId="0" xfId="1" applyNumberFormat="1" applyFont="1" applyFill="1" applyBorder="1"/>
    <xf numFmtId="165" fontId="2" fillId="3" borderId="6" xfId="0" applyNumberFormat="1" applyFont="1" applyFill="1" applyBorder="1"/>
    <xf numFmtId="165" fontId="2" fillId="3" borderId="6" xfId="1" applyNumberFormat="1" applyFont="1" applyFill="1" applyBorder="1"/>
    <xf numFmtId="0" fontId="2" fillId="0" borderId="0" xfId="0" applyFont="1" applyAlignment="1"/>
    <xf numFmtId="3" fontId="3" fillId="0" borderId="2" xfId="0" applyNumberFormat="1" applyFont="1" applyBorder="1"/>
    <xf numFmtId="165" fontId="3" fillId="3" borderId="0" xfId="0" applyNumberFormat="1" applyFont="1" applyFill="1"/>
    <xf numFmtId="165" fontId="12" fillId="3" borderId="0" xfId="1" applyNumberFormat="1" applyFont="1" applyFill="1" applyBorder="1"/>
    <xf numFmtId="3" fontId="13" fillId="0" borderId="0" xfId="0" applyNumberFormat="1" applyFont="1" applyFill="1"/>
    <xf numFmtId="3" fontId="14" fillId="0" borderId="0" xfId="0" applyNumberFormat="1" applyFont="1" applyFill="1"/>
    <xf numFmtId="164" fontId="2" fillId="0" borderId="0" xfId="1" applyFont="1"/>
    <xf numFmtId="164" fontId="6" fillId="0" borderId="0" xfId="1" applyFont="1" applyFill="1"/>
    <xf numFmtId="164" fontId="3" fillId="0" borderId="0" xfId="1" applyFont="1" applyFill="1" applyBorder="1"/>
    <xf numFmtId="0" fontId="2" fillId="0" borderId="0" xfId="0" applyFont="1" applyFill="1" applyBorder="1"/>
    <xf numFmtId="165" fontId="2" fillId="0" borderId="0" xfId="1" applyNumberFormat="1" applyFont="1" applyFill="1"/>
    <xf numFmtId="165" fontId="2" fillId="0" borderId="0" xfId="0" applyNumberFormat="1" applyFont="1" applyFill="1"/>
    <xf numFmtId="0" fontId="3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26" zoomScaleNormal="100" zoomScaleSheetLayoutView="100" workbookViewId="0">
      <selection activeCell="B49" sqref="B49"/>
    </sheetView>
  </sheetViews>
  <sheetFormatPr baseColWidth="10" defaultColWidth="11" defaultRowHeight="12.75" x14ac:dyDescent="0.2"/>
  <cols>
    <col min="1" max="1" width="13.875" style="2" customWidth="1"/>
    <col min="2" max="2" width="14.25" style="7" customWidth="1"/>
    <col min="3" max="3" width="11" style="2"/>
    <col min="4" max="4" width="13.875" style="2" customWidth="1"/>
    <col min="5" max="5" width="6.875" style="2" customWidth="1"/>
    <col min="6" max="6" width="12.75" style="8" customWidth="1"/>
    <col min="7" max="7" width="13.5" style="2" customWidth="1"/>
    <col min="8" max="8" width="9.125" style="2" customWidth="1"/>
    <col min="9" max="10" width="9.875" style="2" hidden="1" customWidth="1"/>
    <col min="11" max="11" width="12.125" style="35" hidden="1" customWidth="1"/>
    <col min="12" max="12" width="11" style="36" hidden="1" customWidth="1"/>
    <col min="13" max="13" width="10.375" style="36" bestFit="1" customWidth="1"/>
    <col min="14" max="14" width="9.25" style="36" customWidth="1"/>
    <col min="15" max="15" width="8.25" style="35" customWidth="1"/>
    <col min="16" max="16" width="8.625" style="35" customWidth="1"/>
    <col min="17" max="16384" width="11" style="2"/>
  </cols>
  <sheetData>
    <row r="1" spans="1:20" x14ac:dyDescent="0.2">
      <c r="A1" s="3"/>
      <c r="B1" s="6"/>
      <c r="F1" s="3"/>
    </row>
    <row r="2" spans="1:20" ht="15" x14ac:dyDescent="0.25">
      <c r="A2" s="98" t="s">
        <v>81</v>
      </c>
      <c r="B2" s="98"/>
      <c r="C2" s="98"/>
      <c r="D2" s="98"/>
      <c r="E2" s="98"/>
      <c r="F2" s="98"/>
      <c r="G2" s="98"/>
      <c r="H2" s="98"/>
      <c r="O2" s="3"/>
      <c r="P2" s="3"/>
    </row>
    <row r="3" spans="1:20" x14ac:dyDescent="0.2">
      <c r="K3" s="66"/>
    </row>
    <row r="4" spans="1:20" ht="26.25" customHeight="1" x14ac:dyDescent="0.2">
      <c r="A4" s="97" t="s">
        <v>64</v>
      </c>
      <c r="B4" s="97"/>
      <c r="E4" s="22"/>
      <c r="F4" s="97" t="s">
        <v>18</v>
      </c>
      <c r="G4" s="97"/>
      <c r="L4" s="69" t="s">
        <v>96</v>
      </c>
      <c r="M4" s="99" t="s">
        <v>97</v>
      </c>
      <c r="N4" s="99"/>
    </row>
    <row r="5" spans="1:20" x14ac:dyDescent="0.2">
      <c r="C5" s="3" t="s">
        <v>0</v>
      </c>
      <c r="F5" s="3"/>
      <c r="H5" s="16"/>
      <c r="K5" s="2"/>
      <c r="L5" s="35"/>
      <c r="O5" s="36"/>
      <c r="P5" s="36"/>
      <c r="Q5" s="35"/>
    </row>
    <row r="6" spans="1:20" x14ac:dyDescent="0.2">
      <c r="A6" s="3">
        <v>2019</v>
      </c>
      <c r="B6" s="3">
        <v>2018</v>
      </c>
      <c r="E6" s="22" t="s">
        <v>68</v>
      </c>
      <c r="F6" s="18">
        <v>2019</v>
      </c>
      <c r="G6" s="18">
        <v>2018</v>
      </c>
      <c r="H6" s="67"/>
      <c r="K6" s="2" t="s">
        <v>98</v>
      </c>
      <c r="L6" s="35"/>
      <c r="O6" s="36"/>
      <c r="P6" s="36"/>
      <c r="Q6" s="35"/>
    </row>
    <row r="7" spans="1:20" x14ac:dyDescent="0.2">
      <c r="A7" s="3"/>
      <c r="B7" s="3"/>
      <c r="F7" s="3"/>
      <c r="G7" s="3"/>
      <c r="H7" s="68"/>
      <c r="K7" s="2"/>
      <c r="L7" s="35"/>
      <c r="M7" s="36" t="s">
        <v>99</v>
      </c>
      <c r="N7" s="100" t="s">
        <v>100</v>
      </c>
      <c r="O7" s="100"/>
      <c r="P7" s="76" t="s">
        <v>102</v>
      </c>
      <c r="Q7" s="35"/>
      <c r="S7" s="91"/>
    </row>
    <row r="8" spans="1:20" x14ac:dyDescent="0.2">
      <c r="A8" s="21">
        <v>5051835</v>
      </c>
      <c r="B8" s="21">
        <v>5244572.5</v>
      </c>
      <c r="C8" s="4" t="s">
        <v>1</v>
      </c>
      <c r="F8" s="32">
        <f>A8</f>
        <v>5051835</v>
      </c>
      <c r="G8" s="32">
        <f>B8</f>
        <v>5244572.5</v>
      </c>
      <c r="H8" s="33"/>
      <c r="I8" s="21">
        <f t="shared" ref="I8:I17" si="0">+B8+J8</f>
        <v>5244572.5</v>
      </c>
      <c r="J8" s="21">
        <f>SUM(L8:O8)</f>
        <v>0</v>
      </c>
      <c r="K8" s="21">
        <f t="shared" ref="K8:K18" si="1">+F8-I8</f>
        <v>-192737.5</v>
      </c>
      <c r="L8" s="57"/>
      <c r="M8" s="58"/>
      <c r="N8" s="72"/>
      <c r="O8" s="83"/>
      <c r="P8" s="81"/>
      <c r="Q8" s="75"/>
      <c r="S8" s="91"/>
    </row>
    <row r="9" spans="1:20" x14ac:dyDescent="0.2">
      <c r="A9" s="21">
        <v>2688687</v>
      </c>
      <c r="B9" s="21">
        <f>3277679.2-149282.23</f>
        <v>3128396.97</v>
      </c>
      <c r="C9" s="4" t="s">
        <v>2</v>
      </c>
      <c r="F9" s="32">
        <f>A9+60663</f>
        <v>2749350</v>
      </c>
      <c r="G9" s="32">
        <v>3499635</v>
      </c>
      <c r="H9" s="33"/>
      <c r="I9" s="21">
        <f t="shared" si="0"/>
        <v>3145521.97</v>
      </c>
      <c r="J9" s="21">
        <f>SUM(L9:O9)</f>
        <v>17125</v>
      </c>
      <c r="K9" s="21">
        <f t="shared" si="1"/>
        <v>-396171.9700000002</v>
      </c>
      <c r="L9" s="57">
        <v>17125</v>
      </c>
      <c r="M9" s="58"/>
      <c r="N9" s="72"/>
      <c r="O9" s="83"/>
      <c r="P9" s="81"/>
      <c r="Q9" s="75"/>
      <c r="S9" s="91"/>
    </row>
    <row r="10" spans="1:20" x14ac:dyDescent="0.2">
      <c r="A10" s="21">
        <v>99996</v>
      </c>
      <c r="B10" s="21">
        <v>99996</v>
      </c>
      <c r="C10" s="4" t="s">
        <v>3</v>
      </c>
      <c r="E10" s="23">
        <v>2</v>
      </c>
      <c r="F10" s="32">
        <f>A10+Q10</f>
        <v>0</v>
      </c>
      <c r="G10" s="32">
        <f>B10+M10</f>
        <v>0</v>
      </c>
      <c r="H10" s="33"/>
      <c r="I10" s="21">
        <f t="shared" si="0"/>
        <v>0</v>
      </c>
      <c r="J10" s="21">
        <f>SUM(L10:O10)</f>
        <v>-99996</v>
      </c>
      <c r="K10" s="21">
        <f t="shared" si="1"/>
        <v>0</v>
      </c>
      <c r="L10" s="57"/>
      <c r="M10" s="58">
        <v>-99996</v>
      </c>
      <c r="N10" s="72"/>
      <c r="O10" s="83"/>
      <c r="P10" s="81"/>
      <c r="Q10" s="75">
        <f>-99996</f>
        <v>-99996</v>
      </c>
      <c r="S10" s="91"/>
    </row>
    <row r="11" spans="1:20" x14ac:dyDescent="0.2">
      <c r="A11" s="21">
        <v>23983885</v>
      </c>
      <c r="B11" s="21">
        <v>23416843</v>
      </c>
      <c r="C11" s="4" t="s">
        <v>4</v>
      </c>
      <c r="E11" s="23"/>
      <c r="F11" s="32">
        <f>A11+Q11+100000</f>
        <v>23598083</v>
      </c>
      <c r="G11" s="32">
        <v>23044123</v>
      </c>
      <c r="H11" s="33"/>
      <c r="I11" s="21">
        <f t="shared" si="0"/>
        <v>23031041</v>
      </c>
      <c r="J11" s="21">
        <f>SUM(L11:O11)</f>
        <v>-385802</v>
      </c>
      <c r="K11" s="21">
        <f t="shared" si="1"/>
        <v>567042</v>
      </c>
      <c r="L11" s="57">
        <v>100000</v>
      </c>
      <c r="M11" s="87">
        <v>-385802</v>
      </c>
      <c r="N11" s="72">
        <v>-100000</v>
      </c>
      <c r="O11" s="83"/>
      <c r="P11" s="81"/>
      <c r="Q11" s="75">
        <f>SUM(M11:P11)</f>
        <v>-485802</v>
      </c>
      <c r="S11" s="91"/>
      <c r="T11" s="36" t="s">
        <v>110</v>
      </c>
    </row>
    <row r="12" spans="1:20" x14ac:dyDescent="0.2">
      <c r="A12" s="21">
        <v>10216467.15</v>
      </c>
      <c r="B12" s="21">
        <v>470052</v>
      </c>
      <c r="C12" s="2" t="s">
        <v>94</v>
      </c>
      <c r="E12" s="23"/>
      <c r="F12" s="32">
        <f>A12+580368.2</f>
        <v>10796835.35</v>
      </c>
      <c r="G12" s="32">
        <v>1309090</v>
      </c>
      <c r="H12" s="33"/>
      <c r="I12" s="21">
        <f t="shared" si="0"/>
        <v>1299960.96</v>
      </c>
      <c r="J12" s="21">
        <f>SUM(L12:O12)</f>
        <v>829908.96</v>
      </c>
      <c r="K12" s="21">
        <f t="shared" si="1"/>
        <v>9496874.3900000006</v>
      </c>
      <c r="L12" s="57">
        <v>829908.96</v>
      </c>
      <c r="M12" s="58"/>
      <c r="N12" s="72"/>
      <c r="O12" s="83"/>
      <c r="P12" s="81"/>
      <c r="Q12" s="75"/>
      <c r="S12" s="91"/>
    </row>
    <row r="13" spans="1:20" x14ac:dyDescent="0.2">
      <c r="A13" s="21">
        <v>506606.26</v>
      </c>
      <c r="B13" s="21">
        <v>10569908</v>
      </c>
      <c r="C13" s="4" t="s">
        <v>5</v>
      </c>
      <c r="E13" s="23"/>
      <c r="F13" s="32">
        <f>A13+1983071.56</f>
        <v>2489677.8200000003</v>
      </c>
      <c r="G13" s="32">
        <v>12506231</v>
      </c>
      <c r="H13" s="33"/>
      <c r="I13" s="21">
        <f t="shared" si="0"/>
        <v>12485160.439999999</v>
      </c>
      <c r="J13" s="21">
        <v>1915252.44</v>
      </c>
      <c r="K13" s="21">
        <f t="shared" si="1"/>
        <v>-9995482.6199999992</v>
      </c>
      <c r="L13" s="57">
        <v>1915252.44</v>
      </c>
      <c r="M13" s="58"/>
      <c r="N13" s="72"/>
      <c r="O13" s="83"/>
      <c r="P13" s="81"/>
      <c r="Q13" s="75"/>
      <c r="S13" s="91"/>
    </row>
    <row r="14" spans="1:20" x14ac:dyDescent="0.2">
      <c r="A14" s="21">
        <v>6564449.7800000003</v>
      </c>
      <c r="B14" s="21">
        <v>6099947.9000000004</v>
      </c>
      <c r="C14" s="4" t="s">
        <v>6</v>
      </c>
      <c r="E14" s="23"/>
      <c r="F14" s="32">
        <f t="shared" ref="F14:F17" si="2">A14</f>
        <v>6564449.7800000003</v>
      </c>
      <c r="G14" s="32">
        <v>6099948</v>
      </c>
      <c r="H14" s="33"/>
      <c r="I14" s="21">
        <f t="shared" si="0"/>
        <v>6099947.9000000004</v>
      </c>
      <c r="J14" s="21">
        <f>SUM(L14:O14)</f>
        <v>0</v>
      </c>
      <c r="K14" s="21">
        <f t="shared" si="1"/>
        <v>464501.87999999989</v>
      </c>
      <c r="L14" s="57"/>
      <c r="M14" s="58"/>
      <c r="N14" s="72"/>
      <c r="O14" s="83"/>
      <c r="P14" s="81"/>
      <c r="Q14" s="75"/>
    </row>
    <row r="15" spans="1:20" x14ac:dyDescent="0.2">
      <c r="A15" s="21">
        <v>21634693.989999998</v>
      </c>
      <c r="B15" s="21">
        <v>22525402</v>
      </c>
      <c r="C15" s="4" t="s">
        <v>7</v>
      </c>
      <c r="E15" s="23"/>
      <c r="F15" s="32">
        <f t="shared" si="2"/>
        <v>21634693.989999998</v>
      </c>
      <c r="G15" s="33">
        <v>22525402</v>
      </c>
      <c r="H15" s="33"/>
      <c r="I15" s="21">
        <f t="shared" si="0"/>
        <v>22525402</v>
      </c>
      <c r="J15" s="21">
        <f>SUM(L15:O15)</f>
        <v>0</v>
      </c>
      <c r="K15" s="21">
        <f t="shared" si="1"/>
        <v>-890708.01000000164</v>
      </c>
      <c r="L15" s="57"/>
      <c r="M15" s="58"/>
      <c r="N15" s="73"/>
      <c r="O15" s="83"/>
      <c r="P15" s="81"/>
      <c r="Q15" s="75"/>
    </row>
    <row r="16" spans="1:20" x14ac:dyDescent="0.2">
      <c r="A16" s="21">
        <v>0</v>
      </c>
      <c r="B16" s="21">
        <v>46585</v>
      </c>
      <c r="C16" s="2" t="s">
        <v>92</v>
      </c>
      <c r="E16" s="23"/>
      <c r="F16" s="32">
        <f t="shared" si="2"/>
        <v>0</v>
      </c>
      <c r="G16" s="33">
        <v>46585</v>
      </c>
      <c r="H16" s="33"/>
      <c r="I16" s="21">
        <f t="shared" si="0"/>
        <v>46585</v>
      </c>
      <c r="J16" s="21">
        <f>SUM(L16:O16)</f>
        <v>0</v>
      </c>
      <c r="K16" s="21">
        <f t="shared" si="1"/>
        <v>-46585</v>
      </c>
      <c r="L16" s="57"/>
      <c r="M16" s="58"/>
      <c r="N16" s="73"/>
      <c r="O16" s="83"/>
      <c r="P16" s="81"/>
      <c r="Q16" s="75"/>
    </row>
    <row r="17" spans="1:20" x14ac:dyDescent="0.2">
      <c r="A17" s="21">
        <v>0</v>
      </c>
      <c r="B17" s="21">
        <v>0</v>
      </c>
      <c r="C17" s="2" t="s">
        <v>103</v>
      </c>
      <c r="E17" s="23"/>
      <c r="F17" s="32">
        <f t="shared" si="2"/>
        <v>0</v>
      </c>
      <c r="G17" s="33">
        <v>0</v>
      </c>
      <c r="H17" s="33"/>
      <c r="I17" s="21">
        <f t="shared" si="0"/>
        <v>0</v>
      </c>
      <c r="J17" s="21">
        <f>SUM(L17:O17)</f>
        <v>0</v>
      </c>
      <c r="K17" s="21">
        <f t="shared" si="1"/>
        <v>0</v>
      </c>
      <c r="L17" s="57"/>
      <c r="M17" s="58"/>
      <c r="N17" s="72"/>
      <c r="O17" s="83"/>
      <c r="P17" s="81"/>
      <c r="Q17" s="75"/>
    </row>
    <row r="18" spans="1:20" x14ac:dyDescent="0.2">
      <c r="A18" s="29">
        <f>SUM(A8:A17)</f>
        <v>70746620.179999992</v>
      </c>
      <c r="B18" s="29">
        <f>SUM(B8:B17)</f>
        <v>71601703.370000005</v>
      </c>
      <c r="C18" s="4" t="s">
        <v>8</v>
      </c>
      <c r="E18" s="23"/>
      <c r="F18" s="34">
        <f>SUM(F8:F17)</f>
        <v>72884924.939999998</v>
      </c>
      <c r="G18" s="34">
        <f>SUM(G8:G17)</f>
        <v>74275586.5</v>
      </c>
      <c r="H18" s="33"/>
      <c r="I18" s="30">
        <f>SUM(I8:I17)</f>
        <v>73878191.769999996</v>
      </c>
      <c r="J18" s="30">
        <f>SUM(J8:J17)</f>
        <v>2276488.4</v>
      </c>
      <c r="K18" s="30">
        <f t="shared" si="1"/>
        <v>-993266.82999999821</v>
      </c>
      <c r="L18" s="65">
        <f>SUM(L8:L17)</f>
        <v>2862286.4</v>
      </c>
      <c r="M18" s="58"/>
      <c r="N18" s="72"/>
      <c r="O18" s="83"/>
      <c r="P18" s="81"/>
      <c r="Q18" s="75"/>
    </row>
    <row r="19" spans="1:20" x14ac:dyDescent="0.2">
      <c r="A19" s="19"/>
      <c r="B19" s="19"/>
      <c r="C19" s="4"/>
      <c r="E19" s="23"/>
      <c r="F19" s="6" t="s">
        <v>109</v>
      </c>
      <c r="G19" s="6"/>
      <c r="H19" s="12"/>
      <c r="I19" s="21"/>
      <c r="J19" s="21"/>
      <c r="K19" s="21"/>
      <c r="L19" s="57"/>
      <c r="M19" s="58"/>
      <c r="N19" s="72"/>
      <c r="O19" s="83"/>
      <c r="P19" s="81"/>
      <c r="Q19" s="75"/>
    </row>
    <row r="20" spans="1:20" x14ac:dyDescent="0.2">
      <c r="A20" s="19"/>
      <c r="B20" s="19"/>
      <c r="C20" s="3" t="s">
        <v>9</v>
      </c>
      <c r="E20" s="23"/>
      <c r="F20" s="6"/>
      <c r="G20" s="6"/>
      <c r="H20" s="12"/>
      <c r="I20" s="21"/>
      <c r="J20" s="21"/>
      <c r="K20" s="21"/>
      <c r="L20" s="57"/>
      <c r="M20" s="58"/>
      <c r="N20" s="72"/>
      <c r="O20" s="83"/>
      <c r="P20" s="81"/>
      <c r="Q20" s="75"/>
    </row>
    <row r="21" spans="1:20" x14ac:dyDescent="0.2">
      <c r="A21" s="21">
        <f>13250993.13+438222.08+4873843.53</f>
        <v>18563058.740000002</v>
      </c>
      <c r="B21" s="21">
        <v>17843377</v>
      </c>
      <c r="C21" s="4" t="s">
        <v>10</v>
      </c>
      <c r="E21" s="23">
        <v>5</v>
      </c>
      <c r="F21" s="6">
        <f>A21</f>
        <v>18563058.740000002</v>
      </c>
      <c r="G21" s="6">
        <v>17843377</v>
      </c>
      <c r="H21" s="12"/>
      <c r="I21" s="21">
        <f t="shared" ref="I21:I26" si="3">+B21+J21</f>
        <v>17843377</v>
      </c>
      <c r="J21" s="21">
        <f t="shared" ref="J21:J26" si="4">SUM(L21:O21)</f>
        <v>0</v>
      </c>
      <c r="K21" s="21">
        <f t="shared" ref="K21:K26" si="5">+F21-I21</f>
        <v>719681.74000000209</v>
      </c>
      <c r="L21" s="57"/>
      <c r="M21" s="58"/>
      <c r="N21" s="72"/>
      <c r="O21" s="83"/>
      <c r="P21" s="81"/>
      <c r="Q21" s="75"/>
    </row>
    <row r="22" spans="1:20" x14ac:dyDescent="0.2">
      <c r="A22" s="21">
        <v>-1668679</v>
      </c>
      <c r="B22" s="21">
        <v>-1331006</v>
      </c>
      <c r="C22" s="4" t="s">
        <v>55</v>
      </c>
      <c r="E22" s="23">
        <v>4</v>
      </c>
      <c r="F22" s="6">
        <f>A22</f>
        <v>-1668679</v>
      </c>
      <c r="G22" s="6">
        <v>-1331006</v>
      </c>
      <c r="H22" s="12"/>
      <c r="I22" s="21">
        <f t="shared" si="3"/>
        <v>-1331006</v>
      </c>
      <c r="J22" s="21">
        <f t="shared" si="4"/>
        <v>0</v>
      </c>
      <c r="K22" s="21">
        <f t="shared" si="5"/>
        <v>-337673</v>
      </c>
      <c r="L22" s="57"/>
      <c r="M22" s="58"/>
      <c r="N22" s="72"/>
      <c r="O22" s="83"/>
      <c r="P22" s="81"/>
      <c r="Q22" s="75"/>
    </row>
    <row r="23" spans="1:20" x14ac:dyDescent="0.2">
      <c r="A23" s="21">
        <f>28765709.36-168381.28</f>
        <v>28597328.079999998</v>
      </c>
      <c r="B23" s="21">
        <v>23611488</v>
      </c>
      <c r="C23" s="4" t="s">
        <v>11</v>
      </c>
      <c r="E23" s="23">
        <v>6</v>
      </c>
      <c r="F23" s="32">
        <f>A23-Q23+781271.1</f>
        <v>28792801.18</v>
      </c>
      <c r="G23" s="6">
        <v>23848005</v>
      </c>
      <c r="H23" s="12"/>
      <c r="I23" s="21">
        <f t="shared" si="3"/>
        <v>24232948.579999998</v>
      </c>
      <c r="J23" s="21">
        <f t="shared" si="4"/>
        <v>621460.58000000007</v>
      </c>
      <c r="K23" s="21">
        <f t="shared" si="5"/>
        <v>4559852.6000000015</v>
      </c>
      <c r="L23" s="57">
        <v>1207258.58</v>
      </c>
      <c r="M23" s="58">
        <v>-100000</v>
      </c>
      <c r="N23" s="73">
        <v>-385802</v>
      </c>
      <c r="O23" s="83">
        <v>-99996</v>
      </c>
      <c r="P23" s="81"/>
      <c r="Q23" s="75">
        <f>-SUM(M23:O23)</f>
        <v>585798</v>
      </c>
    </row>
    <row r="24" spans="1:20" x14ac:dyDescent="0.2">
      <c r="A24" s="21">
        <v>25040</v>
      </c>
      <c r="B24" s="21">
        <v>0</v>
      </c>
      <c r="C24" s="4" t="s">
        <v>12</v>
      </c>
      <c r="E24" s="23"/>
      <c r="F24" s="6">
        <f>A24</f>
        <v>25040</v>
      </c>
      <c r="G24" s="6">
        <v>0</v>
      </c>
      <c r="H24" s="12"/>
      <c r="I24" s="21">
        <f t="shared" si="3"/>
        <v>0</v>
      </c>
      <c r="J24" s="21">
        <f t="shared" si="4"/>
        <v>0</v>
      </c>
      <c r="K24" s="21">
        <f t="shared" si="5"/>
        <v>25040</v>
      </c>
      <c r="L24" s="57"/>
      <c r="M24" s="58"/>
      <c r="N24" s="72"/>
      <c r="O24" s="83"/>
      <c r="P24" s="81"/>
      <c r="Q24" s="75"/>
    </row>
    <row r="25" spans="1:20" x14ac:dyDescent="0.2">
      <c r="A25" s="21">
        <v>8862068.6400000006</v>
      </c>
      <c r="B25" s="21">
        <v>9815145</v>
      </c>
      <c r="C25" s="4" t="s">
        <v>13</v>
      </c>
      <c r="E25" s="23">
        <v>6.7</v>
      </c>
      <c r="F25" s="6">
        <f>A25+843156</f>
        <v>9705224.6400000006</v>
      </c>
      <c r="G25" s="12">
        <v>10682845</v>
      </c>
      <c r="H25" s="12"/>
      <c r="I25" s="21">
        <f t="shared" si="3"/>
        <v>10682845</v>
      </c>
      <c r="J25" s="21">
        <f t="shared" si="4"/>
        <v>867700</v>
      </c>
      <c r="K25" s="21">
        <f t="shared" si="5"/>
        <v>-977620.3599999994</v>
      </c>
      <c r="L25" s="57">
        <v>867700</v>
      </c>
      <c r="M25" s="58"/>
      <c r="N25" s="72"/>
      <c r="O25" s="83"/>
      <c r="P25" s="81"/>
      <c r="Q25" s="75"/>
    </row>
    <row r="26" spans="1:20" x14ac:dyDescent="0.2">
      <c r="A26" s="21">
        <v>0</v>
      </c>
      <c r="B26" s="21">
        <v>0</v>
      </c>
      <c r="C26" s="2" t="s">
        <v>91</v>
      </c>
      <c r="E26" s="23">
        <v>7</v>
      </c>
      <c r="F26" s="6">
        <f>A26</f>
        <v>0</v>
      </c>
      <c r="G26" s="12">
        <v>0</v>
      </c>
      <c r="H26" s="12"/>
      <c r="I26" s="21">
        <f t="shared" si="3"/>
        <v>0</v>
      </c>
      <c r="J26" s="21">
        <f t="shared" si="4"/>
        <v>0</v>
      </c>
      <c r="K26" s="21">
        <f t="shared" si="5"/>
        <v>0</v>
      </c>
      <c r="L26" s="57"/>
      <c r="M26" s="58"/>
      <c r="N26" s="72"/>
      <c r="O26" s="83"/>
      <c r="P26" s="81"/>
      <c r="Q26" s="75"/>
    </row>
    <row r="27" spans="1:20" x14ac:dyDescent="0.2">
      <c r="A27" s="29">
        <f>SUM(A21:A26)</f>
        <v>54378816.460000001</v>
      </c>
      <c r="B27" s="29">
        <f>SUM(B21:B26)</f>
        <v>49939004</v>
      </c>
      <c r="C27" s="4" t="s">
        <v>14</v>
      </c>
      <c r="F27" s="30">
        <f>SUM(F21:F26)</f>
        <v>55417445.560000002</v>
      </c>
      <c r="G27" s="30">
        <f>SUM(G21:G26)</f>
        <v>51043221</v>
      </c>
      <c r="H27" s="12"/>
      <c r="I27" s="30">
        <f>+A27+J27</f>
        <v>55867977.039999999</v>
      </c>
      <c r="J27" s="30">
        <f>SUM(J21:J26)</f>
        <v>1489160.58</v>
      </c>
      <c r="K27" s="21">
        <f t="shared" ref="K27:K29" si="6">+F27-I27</f>
        <v>-450531.47999999672</v>
      </c>
      <c r="L27" s="65">
        <f>SUM(L21:L26)</f>
        <v>2074958.58</v>
      </c>
      <c r="M27" s="59"/>
      <c r="N27" s="74"/>
      <c r="O27" s="84"/>
      <c r="P27" s="82"/>
      <c r="Q27" s="75"/>
    </row>
    <row r="28" spans="1:20" x14ac:dyDescent="0.2">
      <c r="A28" s="19"/>
      <c r="B28" s="19"/>
      <c r="C28" s="4"/>
      <c r="F28" s="6"/>
      <c r="G28" s="6"/>
      <c r="H28" s="12"/>
      <c r="I28" s="21"/>
      <c r="J28" s="21"/>
      <c r="K28" s="21"/>
      <c r="L28" s="57"/>
      <c r="M28" s="59"/>
      <c r="N28" s="74"/>
      <c r="O28" s="84"/>
      <c r="P28" s="82"/>
      <c r="Q28" s="75"/>
    </row>
    <row r="29" spans="1:20" x14ac:dyDescent="0.2">
      <c r="A29" s="20">
        <f>(A18-A27)</f>
        <v>16367803.719999991</v>
      </c>
      <c r="B29" s="20">
        <f>(B18-B27)</f>
        <v>21662699.370000005</v>
      </c>
      <c r="C29" s="3" t="s">
        <v>15</v>
      </c>
      <c r="F29" s="11">
        <f>F18-F27</f>
        <v>17467479.379999995</v>
      </c>
      <c r="G29" s="11">
        <f>G18-G27</f>
        <v>23232365.5</v>
      </c>
      <c r="H29" s="12"/>
      <c r="I29" s="6">
        <f>+A29+J29</f>
        <v>17155131.539999992</v>
      </c>
      <c r="J29" s="6">
        <f>+J18-J27</f>
        <v>787327.81999999983</v>
      </c>
      <c r="K29" s="21">
        <f t="shared" si="6"/>
        <v>312347.84000000358</v>
      </c>
      <c r="L29" s="61">
        <f>+L18-L27</f>
        <v>787327.81999999983</v>
      </c>
      <c r="M29" s="59"/>
      <c r="N29" s="74"/>
      <c r="O29" s="84"/>
      <c r="P29" s="82"/>
      <c r="Q29" s="75"/>
    </row>
    <row r="30" spans="1:20" x14ac:dyDescent="0.2">
      <c r="A30" s="19"/>
      <c r="B30" s="19"/>
      <c r="C30" s="4"/>
      <c r="F30" s="6"/>
      <c r="G30" s="6"/>
      <c r="H30" s="12"/>
      <c r="I30" s="21"/>
      <c r="J30" s="21"/>
      <c r="K30" s="21"/>
      <c r="L30" s="57"/>
      <c r="M30" s="59"/>
      <c r="N30" s="74"/>
      <c r="O30" s="84"/>
      <c r="P30" s="82"/>
      <c r="Q30" s="75"/>
    </row>
    <row r="31" spans="1:20" x14ac:dyDescent="0.2">
      <c r="A31" s="19"/>
      <c r="B31" s="19"/>
      <c r="C31" s="3" t="s">
        <v>49</v>
      </c>
      <c r="F31" s="6"/>
      <c r="G31" s="6"/>
      <c r="H31" s="12"/>
      <c r="I31" s="21"/>
      <c r="J31" s="21"/>
      <c r="K31" s="21"/>
      <c r="L31" s="57"/>
      <c r="M31" s="59"/>
      <c r="N31" s="74"/>
      <c r="O31" s="84"/>
      <c r="P31" s="82"/>
      <c r="Q31" s="75"/>
    </row>
    <row r="32" spans="1:20" x14ac:dyDescent="0.2">
      <c r="A32" s="19">
        <v>5997</v>
      </c>
      <c r="B32" s="19">
        <v>6024</v>
      </c>
      <c r="C32" s="4" t="s">
        <v>63</v>
      </c>
      <c r="E32" s="23"/>
      <c r="F32" s="6">
        <f>A32</f>
        <v>5997</v>
      </c>
      <c r="G32" s="6">
        <v>8539</v>
      </c>
      <c r="H32" s="12"/>
      <c r="I32" s="21">
        <f>+A32+J32</f>
        <v>9078870.6199999992</v>
      </c>
      <c r="J32" s="21">
        <f>SUM(L32:O32)</f>
        <v>9072873.6199999992</v>
      </c>
      <c r="K32" s="21">
        <f>+F32-I32</f>
        <v>-9072873.6199999992</v>
      </c>
      <c r="L32" s="57">
        <v>9072873.6199999992</v>
      </c>
      <c r="M32" s="59">
        <v>0</v>
      </c>
      <c r="N32" s="74"/>
      <c r="O32" s="84"/>
      <c r="P32" s="82"/>
      <c r="Q32" s="75">
        <v>0</v>
      </c>
      <c r="S32" s="38"/>
      <c r="T32" s="38"/>
    </row>
    <row r="33" spans="1:20" x14ac:dyDescent="0.2">
      <c r="A33" s="19">
        <v>0</v>
      </c>
      <c r="B33" s="19">
        <v>0</v>
      </c>
      <c r="C33" s="85" t="s">
        <v>104</v>
      </c>
      <c r="E33" s="23">
        <v>11</v>
      </c>
      <c r="F33" s="90">
        <v>-3818356</v>
      </c>
      <c r="G33" s="6">
        <v>-3519838</v>
      </c>
      <c r="H33" s="12"/>
      <c r="I33" s="21"/>
      <c r="J33" s="21"/>
      <c r="K33" s="21"/>
      <c r="L33" s="57"/>
      <c r="M33" s="59"/>
      <c r="N33" s="74"/>
      <c r="O33" s="84"/>
      <c r="P33" s="88">
        <v>-3818356</v>
      </c>
      <c r="Q33" s="75"/>
      <c r="S33" s="38"/>
      <c r="T33" s="38"/>
    </row>
    <row r="34" spans="1:20" x14ac:dyDescent="0.2">
      <c r="A34" s="20">
        <v>3267859.82</v>
      </c>
      <c r="B34" s="20">
        <v>1371075.8</v>
      </c>
      <c r="C34" s="4" t="s">
        <v>16</v>
      </c>
      <c r="E34" s="23">
        <v>8</v>
      </c>
      <c r="F34" s="11">
        <f>A34+578794.31</f>
        <v>3846654.13</v>
      </c>
      <c r="G34" s="11">
        <v>1896119</v>
      </c>
      <c r="H34" s="12"/>
      <c r="I34" s="21">
        <f>+A34+J34</f>
        <v>3680207.96</v>
      </c>
      <c r="J34" s="21">
        <f>SUM(L34:O34)</f>
        <v>412348.14</v>
      </c>
      <c r="K34" s="21">
        <f>+F34-I34</f>
        <v>166446.16999999993</v>
      </c>
      <c r="L34" s="60">
        <f>405322.14+7026</f>
        <v>412348.14</v>
      </c>
      <c r="M34" s="59">
        <v>0</v>
      </c>
      <c r="N34" s="74"/>
      <c r="O34" s="84"/>
      <c r="P34" s="82"/>
      <c r="Q34" s="75">
        <v>0</v>
      </c>
      <c r="S34" s="38"/>
      <c r="T34" s="38"/>
    </row>
    <row r="35" spans="1:20" x14ac:dyDescent="0.2">
      <c r="A35" s="19">
        <f>SUM(A32:A34)</f>
        <v>3273856.82</v>
      </c>
      <c r="B35" s="19">
        <f>SUM(B32:B34)</f>
        <v>1377099.8</v>
      </c>
      <c r="C35" s="2" t="s">
        <v>75</v>
      </c>
      <c r="F35" s="6">
        <f>SUM(F32:F34)</f>
        <v>34295.129999999888</v>
      </c>
      <c r="G35" s="6">
        <f>SUM(G32:G34)</f>
        <v>-1615180</v>
      </c>
      <c r="H35" s="12"/>
      <c r="I35" s="63">
        <f>+A35+J35</f>
        <v>12759078.58</v>
      </c>
      <c r="J35" s="63">
        <f>SUM(J32:J34)</f>
        <v>9485221.7599999998</v>
      </c>
      <c r="K35" s="63">
        <v>0</v>
      </c>
      <c r="L35" s="57">
        <f>SUM(L32:L34)</f>
        <v>9485221.7599999998</v>
      </c>
      <c r="M35" s="59"/>
      <c r="N35" s="74"/>
      <c r="O35" s="84"/>
      <c r="P35" s="82"/>
      <c r="Q35" s="75"/>
      <c r="S35" s="55"/>
      <c r="T35" s="38"/>
    </row>
    <row r="36" spans="1:20" x14ac:dyDescent="0.2">
      <c r="A36" s="19"/>
      <c r="B36" s="19"/>
      <c r="C36" s="4"/>
      <c r="F36" s="6"/>
      <c r="G36" s="6"/>
      <c r="H36" s="12"/>
      <c r="I36" s="21"/>
      <c r="J36" s="21"/>
      <c r="K36" s="21"/>
      <c r="L36" s="57"/>
      <c r="M36" s="59"/>
      <c r="N36" s="74"/>
      <c r="O36" s="84"/>
      <c r="P36" s="82"/>
      <c r="Q36" s="75"/>
      <c r="S36" s="38"/>
      <c r="T36" s="38"/>
    </row>
    <row r="37" spans="1:20" x14ac:dyDescent="0.2">
      <c r="A37" s="19"/>
      <c r="B37" s="19"/>
      <c r="C37" s="3" t="s">
        <v>17</v>
      </c>
      <c r="F37" s="6"/>
      <c r="G37" s="6"/>
      <c r="H37" s="12"/>
      <c r="I37" s="21"/>
      <c r="J37" s="21"/>
      <c r="K37" s="21"/>
      <c r="L37" s="57"/>
      <c r="M37" s="59"/>
      <c r="N37" s="74"/>
      <c r="O37" s="84"/>
      <c r="P37" s="82"/>
      <c r="Q37" s="75"/>
      <c r="S37" s="38"/>
      <c r="T37" s="38"/>
    </row>
    <row r="38" spans="1:20" x14ac:dyDescent="0.2">
      <c r="A38" s="11">
        <v>-943321.99</v>
      </c>
      <c r="B38" s="11">
        <v>-1341219.3</v>
      </c>
      <c r="C38" s="5" t="s">
        <v>17</v>
      </c>
      <c r="F38" s="11">
        <f>A38</f>
        <v>-943321.99</v>
      </c>
      <c r="G38" s="11">
        <v>-1342085</v>
      </c>
      <c r="H38" s="12"/>
      <c r="I38" s="21">
        <f>+B38+J38</f>
        <v>-2314663.2999999998</v>
      </c>
      <c r="J38" s="21">
        <f>SUM(L38:O38)</f>
        <v>-973444</v>
      </c>
      <c r="K38" s="21">
        <f>+F38-I38</f>
        <v>1371341.3099999998</v>
      </c>
      <c r="L38" s="60">
        <v>-973444</v>
      </c>
      <c r="M38" s="59"/>
      <c r="N38" s="74">
        <v>0</v>
      </c>
      <c r="O38" s="84"/>
      <c r="P38" s="82"/>
      <c r="Q38" s="75"/>
      <c r="S38" s="38"/>
      <c r="T38" s="38"/>
    </row>
    <row r="39" spans="1:20" x14ac:dyDescent="0.2">
      <c r="A39" s="19">
        <f>SUM(A38)</f>
        <v>-943321.99</v>
      </c>
      <c r="B39" s="19">
        <f>SUM(B38)</f>
        <v>-1341219.3</v>
      </c>
      <c r="C39" s="2" t="s">
        <v>76</v>
      </c>
      <c r="F39" s="6">
        <f>SUM(F38:F38)</f>
        <v>-943321.99</v>
      </c>
      <c r="G39" s="6">
        <f>SUM(G38:G38)</f>
        <v>-1342085</v>
      </c>
      <c r="H39" s="12"/>
      <c r="I39" s="63">
        <f>I38</f>
        <v>-2314663.2999999998</v>
      </c>
      <c r="J39" s="63">
        <f>+J38</f>
        <v>-973444</v>
      </c>
      <c r="K39" s="63"/>
      <c r="L39" s="57">
        <f>+L38</f>
        <v>-973444</v>
      </c>
      <c r="M39" s="59"/>
      <c r="N39" s="74"/>
      <c r="O39" s="84"/>
      <c r="P39" s="82"/>
      <c r="Q39" s="75"/>
      <c r="S39" s="38"/>
      <c r="T39" s="38"/>
    </row>
    <row r="40" spans="1:20" x14ac:dyDescent="0.2">
      <c r="A40" s="6"/>
      <c r="B40" s="6"/>
      <c r="C40" s="4"/>
      <c r="F40" s="6"/>
      <c r="G40" s="6"/>
      <c r="H40" s="12"/>
      <c r="I40" s="21"/>
      <c r="J40" s="21"/>
      <c r="K40" s="21"/>
      <c r="L40" s="57"/>
      <c r="M40" s="59"/>
      <c r="N40" s="74"/>
      <c r="O40" s="84"/>
      <c r="P40" s="82"/>
      <c r="Q40" s="75"/>
      <c r="S40" s="38"/>
      <c r="T40" s="38"/>
    </row>
    <row r="41" spans="1:20" x14ac:dyDescent="0.2">
      <c r="A41" s="6">
        <f>A35+A39</f>
        <v>2330534.83</v>
      </c>
      <c r="B41" s="6">
        <f>B35+B39</f>
        <v>35880.5</v>
      </c>
      <c r="C41" s="3" t="s">
        <v>74</v>
      </c>
      <c r="F41" s="6">
        <f>F35+F39</f>
        <v>-909026.8600000001</v>
      </c>
      <c r="G41" s="6">
        <f>G35+G39</f>
        <v>-2957265</v>
      </c>
      <c r="H41" s="12"/>
      <c r="I41" s="21">
        <f>+I35+I39</f>
        <v>10444415.280000001</v>
      </c>
      <c r="J41" s="21">
        <f>+J35+J39</f>
        <v>8511777.7599999998</v>
      </c>
      <c r="K41" s="21">
        <f>+F41-I41</f>
        <v>-11353442.140000001</v>
      </c>
      <c r="L41" s="57">
        <f>+L35+L39</f>
        <v>8511777.7599999998</v>
      </c>
      <c r="M41" s="59"/>
      <c r="N41" s="74"/>
      <c r="O41" s="84"/>
      <c r="P41" s="82"/>
      <c r="Q41" s="75">
        <f>SUM(Q32:Q40)</f>
        <v>0</v>
      </c>
      <c r="S41" s="55"/>
      <c r="T41" s="38"/>
    </row>
    <row r="42" spans="1:20" x14ac:dyDescent="0.2">
      <c r="A42" s="6"/>
      <c r="B42" s="6"/>
      <c r="C42" s="3"/>
      <c r="F42" s="6"/>
      <c r="G42" s="6"/>
      <c r="H42" s="12"/>
      <c r="I42" s="21"/>
      <c r="J42" s="21"/>
      <c r="K42" s="21"/>
      <c r="L42" s="57"/>
      <c r="M42" s="59"/>
      <c r="N42" s="74"/>
      <c r="O42" s="84"/>
      <c r="P42" s="82"/>
      <c r="Q42" s="75"/>
      <c r="S42" s="38"/>
      <c r="T42" s="38"/>
    </row>
    <row r="43" spans="1:20" x14ac:dyDescent="0.2">
      <c r="A43" s="6"/>
      <c r="B43" s="6"/>
      <c r="C43" s="4"/>
      <c r="F43" s="6"/>
      <c r="G43" s="6"/>
      <c r="H43" s="12"/>
      <c r="I43" s="21"/>
      <c r="J43" s="21"/>
      <c r="K43" s="21"/>
      <c r="L43" s="57"/>
      <c r="M43" s="59"/>
      <c r="N43" s="74"/>
      <c r="O43" s="84"/>
      <c r="P43" s="82"/>
      <c r="Q43" s="75"/>
      <c r="S43" s="38"/>
      <c r="T43" s="38"/>
    </row>
    <row r="44" spans="1:20" x14ac:dyDescent="0.2">
      <c r="A44" s="20">
        <f>A29+A41</f>
        <v>18698338.54999999</v>
      </c>
      <c r="B44" s="20">
        <f>B29+B41</f>
        <v>21698579.870000005</v>
      </c>
      <c r="C44" s="3" t="s">
        <v>54</v>
      </c>
      <c r="F44" s="11">
        <f>F29+F41</f>
        <v>16558452.519999996</v>
      </c>
      <c r="G44" s="11">
        <f>G29+G41</f>
        <v>20275100.5</v>
      </c>
      <c r="H44" s="12"/>
      <c r="I44" s="11">
        <f>+A44+J44</f>
        <v>27997444.129999988</v>
      </c>
      <c r="J44" s="11">
        <f>+J29+J41</f>
        <v>9299105.5800000001</v>
      </c>
      <c r="K44" s="11">
        <f>+F44-I44</f>
        <v>-11438991.609999992</v>
      </c>
      <c r="L44" s="62">
        <f>+L41+L29</f>
        <v>9299105.5800000001</v>
      </c>
      <c r="M44" s="59"/>
      <c r="N44" s="74"/>
      <c r="O44" s="84"/>
      <c r="P44" s="82"/>
      <c r="Q44" s="75"/>
      <c r="S44" s="38"/>
      <c r="T44" s="38"/>
    </row>
    <row r="45" spans="1:20" x14ac:dyDescent="0.2">
      <c r="A45" s="6"/>
      <c r="B45" s="6"/>
      <c r="F45" s="6"/>
      <c r="G45" s="6"/>
      <c r="H45" s="12"/>
      <c r="I45" s="21"/>
      <c r="J45" s="21"/>
      <c r="K45" s="21"/>
      <c r="L45" s="57"/>
      <c r="M45" s="59"/>
      <c r="N45" s="74"/>
      <c r="O45" s="84"/>
      <c r="P45" s="82"/>
      <c r="Q45" s="75"/>
      <c r="S45" s="38"/>
      <c r="T45" s="38"/>
    </row>
    <row r="46" spans="1:20" x14ac:dyDescent="0.2">
      <c r="A46" s="11">
        <v>0</v>
      </c>
      <c r="B46" s="11">
        <v>0</v>
      </c>
      <c r="C46" s="6" t="s">
        <v>53</v>
      </c>
      <c r="D46" s="6"/>
      <c r="E46" s="23">
        <v>3</v>
      </c>
      <c r="F46" s="11">
        <f>369264</f>
        <v>369264</v>
      </c>
      <c r="G46" s="11">
        <f>473677</f>
        <v>473677</v>
      </c>
      <c r="H46" s="12"/>
      <c r="I46" s="21">
        <f>A46+J46</f>
        <v>402281</v>
      </c>
      <c r="J46" s="21">
        <f>SUM(L46:O46)</f>
        <v>402281</v>
      </c>
      <c r="K46" s="21">
        <f>+F46-I46</f>
        <v>-33017</v>
      </c>
      <c r="L46" s="57">
        <v>402281</v>
      </c>
      <c r="M46" s="59"/>
      <c r="N46" s="74"/>
      <c r="O46" s="84"/>
      <c r="P46" s="82"/>
      <c r="Q46" s="75"/>
      <c r="S46" s="38"/>
      <c r="T46" s="38"/>
    </row>
    <row r="47" spans="1:20" x14ac:dyDescent="0.2">
      <c r="A47" s="6"/>
      <c r="B47" s="6"/>
      <c r="C47" s="6"/>
      <c r="D47" s="6"/>
      <c r="F47" s="6"/>
      <c r="G47" s="6"/>
      <c r="H47" s="12"/>
      <c r="I47" s="21"/>
      <c r="J47" s="21"/>
      <c r="K47" s="21"/>
      <c r="L47" s="57"/>
      <c r="M47" s="58"/>
      <c r="N47" s="72"/>
      <c r="O47" s="83"/>
      <c r="P47" s="81"/>
      <c r="Q47" s="75"/>
    </row>
    <row r="48" spans="1:20" x14ac:dyDescent="0.2">
      <c r="A48" s="6"/>
      <c r="B48" s="6"/>
      <c r="D48" s="6"/>
      <c r="F48" s="6"/>
      <c r="G48" s="6"/>
      <c r="H48" s="12"/>
      <c r="I48" s="21"/>
      <c r="J48" s="21"/>
      <c r="K48" s="21"/>
      <c r="L48" s="57"/>
      <c r="M48" s="58"/>
      <c r="N48" s="72"/>
      <c r="O48" s="83"/>
      <c r="P48" s="81"/>
      <c r="Q48" s="75"/>
    </row>
    <row r="49" spans="1:17" x14ac:dyDescent="0.2">
      <c r="A49" s="20">
        <f>A44</f>
        <v>18698338.54999999</v>
      </c>
      <c r="B49" s="20">
        <f>B44</f>
        <v>21698579.870000005</v>
      </c>
      <c r="C49" s="6" t="s">
        <v>80</v>
      </c>
      <c r="F49" s="11">
        <f>F44-F46</f>
        <v>16189188.519999996</v>
      </c>
      <c r="G49" s="11">
        <f>SUM(G44-G46)</f>
        <v>19801423.5</v>
      </c>
      <c r="H49" s="12"/>
      <c r="I49" s="6">
        <f>I44-I46</f>
        <v>27595163.129999988</v>
      </c>
      <c r="J49" s="6">
        <f>SUM(J44:J47)</f>
        <v>9701386.5800000001</v>
      </c>
      <c r="K49" s="6">
        <f>F49-I49</f>
        <v>-11405974.609999992</v>
      </c>
      <c r="L49" s="61">
        <f>SUM(L44:L48)</f>
        <v>9701386.5800000001</v>
      </c>
      <c r="M49" s="58"/>
      <c r="N49" s="72"/>
      <c r="O49" s="83"/>
      <c r="P49" s="81"/>
      <c r="Q49" s="75"/>
    </row>
    <row r="50" spans="1:17" x14ac:dyDescent="0.2">
      <c r="A50" s="6"/>
      <c r="B50" s="6"/>
      <c r="F50" s="6"/>
      <c r="G50" s="6"/>
      <c r="H50" s="12"/>
      <c r="I50" s="21"/>
      <c r="J50" s="21"/>
      <c r="K50" s="21"/>
      <c r="L50" s="57"/>
      <c r="M50" s="58"/>
      <c r="N50" s="72"/>
      <c r="O50" s="83"/>
      <c r="P50" s="81"/>
      <c r="Q50" s="75"/>
    </row>
    <row r="51" spans="1:17" x14ac:dyDescent="0.2">
      <c r="A51" s="6"/>
      <c r="B51" s="6"/>
      <c r="F51" s="6"/>
      <c r="G51" s="6"/>
      <c r="H51" s="12"/>
      <c r="I51" s="21"/>
      <c r="J51" s="21"/>
      <c r="K51" s="21"/>
      <c r="L51" s="57"/>
      <c r="M51" s="58"/>
      <c r="N51" s="72"/>
      <c r="O51" s="83"/>
      <c r="P51" s="81"/>
      <c r="Q51" s="75"/>
    </row>
    <row r="52" spans="1:17" x14ac:dyDescent="0.2">
      <c r="A52" s="20">
        <f>A49</f>
        <v>18698338.54999999</v>
      </c>
      <c r="B52" s="20">
        <f>B49</f>
        <v>21698579.870000005</v>
      </c>
      <c r="C52" s="3" t="s">
        <v>79</v>
      </c>
      <c r="F52" s="11">
        <f>F49</f>
        <v>16189188.519999996</v>
      </c>
      <c r="G52" s="11">
        <f>G49</f>
        <v>19801423.5</v>
      </c>
      <c r="H52" s="12"/>
      <c r="I52" s="21">
        <f>+I49</f>
        <v>27595163.129999988</v>
      </c>
      <c r="J52" s="21">
        <f>SUM(L52:O52)</f>
        <v>9701386.5800000001</v>
      </c>
      <c r="K52" s="21">
        <f>+F52-I52</f>
        <v>-11405974.609999992</v>
      </c>
      <c r="L52" s="57">
        <f>+L49</f>
        <v>9701386.5800000001</v>
      </c>
      <c r="M52" s="58"/>
      <c r="N52" s="72"/>
      <c r="O52" s="83"/>
      <c r="P52" s="81"/>
      <c r="Q52" s="75"/>
    </row>
    <row r="53" spans="1:17" x14ac:dyDescent="0.2">
      <c r="A53" s="6"/>
      <c r="B53" s="6"/>
      <c r="F53" s="6"/>
      <c r="G53" s="6"/>
      <c r="H53" s="12"/>
      <c r="I53" s="63"/>
      <c r="J53" s="63"/>
      <c r="K53" s="63"/>
      <c r="L53" s="64"/>
      <c r="M53" s="58"/>
      <c r="N53" s="72"/>
      <c r="O53" s="83"/>
      <c r="P53" s="81"/>
      <c r="Q53" s="75"/>
    </row>
    <row r="54" spans="1:17" x14ac:dyDescent="0.2">
      <c r="A54" s="6"/>
      <c r="B54" s="6"/>
      <c r="F54" s="6"/>
      <c r="G54" s="6"/>
      <c r="H54" s="12"/>
      <c r="I54" s="70"/>
      <c r="J54" s="70"/>
      <c r="K54" s="70"/>
      <c r="L54" s="71"/>
      <c r="M54" s="58"/>
      <c r="N54" s="72"/>
      <c r="O54" s="83"/>
      <c r="P54" s="81"/>
      <c r="Q54" s="75"/>
    </row>
    <row r="55" spans="1:17" x14ac:dyDescent="0.2">
      <c r="A55" s="6"/>
      <c r="B55" s="6"/>
      <c r="C55" s="3" t="s">
        <v>77</v>
      </c>
      <c r="F55" s="6"/>
      <c r="G55" s="6"/>
      <c r="H55" s="12"/>
      <c r="I55" s="21"/>
      <c r="J55" s="21"/>
      <c r="K55" s="21"/>
      <c r="L55" s="57">
        <v>2000000</v>
      </c>
      <c r="M55" s="58"/>
      <c r="N55" s="72"/>
      <c r="O55" s="83"/>
      <c r="P55" s="81"/>
      <c r="Q55" s="75"/>
    </row>
    <row r="56" spans="1:17" x14ac:dyDescent="0.2">
      <c r="A56" s="20">
        <f>A52</f>
        <v>18698338.54999999</v>
      </c>
      <c r="B56" s="20">
        <f>B52</f>
        <v>21698579.870000005</v>
      </c>
      <c r="C56" s="2" t="s">
        <v>65</v>
      </c>
      <c r="F56" s="11">
        <f>F52</f>
        <v>16189188.519999996</v>
      </c>
      <c r="G56" s="11">
        <f>G52</f>
        <v>19801423.5</v>
      </c>
      <c r="H56" s="12"/>
      <c r="I56" s="21">
        <f>+A56+J56</f>
        <v>25595163.54999999</v>
      </c>
      <c r="J56" s="21">
        <f>SUM(L56:O56)</f>
        <v>6896825</v>
      </c>
      <c r="K56" s="21">
        <f>+F56-I56</f>
        <v>-9405975.0299999937</v>
      </c>
      <c r="L56" s="57">
        <v>6896825</v>
      </c>
      <c r="M56" s="58"/>
      <c r="N56" s="72"/>
      <c r="O56" s="83"/>
      <c r="P56" s="81"/>
      <c r="Q56" s="75"/>
    </row>
    <row r="57" spans="1:17" x14ac:dyDescent="0.2">
      <c r="A57" s="20">
        <f>A56</f>
        <v>18698338.54999999</v>
      </c>
      <c r="B57" s="20">
        <f>B56</f>
        <v>21698579.870000005</v>
      </c>
      <c r="C57" s="25" t="s">
        <v>78</v>
      </c>
      <c r="D57" s="26"/>
      <c r="F57" s="11">
        <f>SUM(F56:F56)</f>
        <v>16189188.519999996</v>
      </c>
      <c r="G57" s="11">
        <f>SUM(G56:G56)</f>
        <v>19801423.5</v>
      </c>
      <c r="H57" s="12"/>
      <c r="I57" s="63">
        <f>+A57+J57</f>
        <v>27595163.54999999</v>
      </c>
      <c r="J57" s="63">
        <f>SUM(L57:O57)</f>
        <v>8896825</v>
      </c>
      <c r="K57" s="63">
        <f>+F57-I57</f>
        <v>-11405975.029999994</v>
      </c>
      <c r="L57" s="64">
        <v>8896825</v>
      </c>
      <c r="M57" s="58"/>
      <c r="N57" s="72">
        <v>0</v>
      </c>
      <c r="O57" s="83"/>
      <c r="P57" s="81"/>
      <c r="Q57" s="75">
        <f>Q29+Q41</f>
        <v>0</v>
      </c>
    </row>
    <row r="58" spans="1:17" x14ac:dyDescent="0.2">
      <c r="A58" s="12"/>
      <c r="B58" s="12"/>
      <c r="C58" s="5"/>
      <c r="D58" s="16"/>
      <c r="E58" s="33"/>
      <c r="F58" s="93"/>
      <c r="G58" s="38"/>
      <c r="H58" s="94"/>
      <c r="I58" s="55"/>
      <c r="J58" s="55"/>
      <c r="K58" s="55"/>
      <c r="L58" s="95"/>
      <c r="M58" s="96"/>
      <c r="N58" s="96"/>
      <c r="O58" s="96"/>
      <c r="P58" s="36"/>
      <c r="Q58" s="35"/>
    </row>
    <row r="59" spans="1:17" x14ac:dyDescent="0.2">
      <c r="A59" s="24"/>
      <c r="B59" s="24"/>
      <c r="C59" s="16"/>
      <c r="D59" s="16"/>
      <c r="E59" s="33"/>
      <c r="F59" s="93"/>
      <c r="G59" s="38"/>
      <c r="H59" s="94"/>
      <c r="I59" s="38"/>
      <c r="J59" s="38"/>
      <c r="K59" s="38"/>
      <c r="L59" s="95"/>
      <c r="M59" s="96"/>
      <c r="N59" s="96"/>
      <c r="O59" s="96"/>
      <c r="P59" s="36"/>
      <c r="Q59" s="35"/>
    </row>
    <row r="60" spans="1:17" x14ac:dyDescent="0.2">
      <c r="A60" s="6"/>
      <c r="B60" s="12"/>
      <c r="E60" s="38"/>
      <c r="F60" s="92"/>
      <c r="G60" s="38"/>
      <c r="H60" s="94"/>
      <c r="I60" s="38"/>
      <c r="J60" s="38"/>
      <c r="K60" s="38"/>
      <c r="L60" s="95"/>
      <c r="M60" s="96"/>
      <c r="N60" s="96"/>
      <c r="O60" s="96"/>
      <c r="P60" s="36"/>
      <c r="Q60" s="35"/>
    </row>
    <row r="61" spans="1:17" x14ac:dyDescent="0.2">
      <c r="A61" s="6"/>
      <c r="B61" s="15"/>
      <c r="E61" s="38"/>
      <c r="F61" s="92"/>
      <c r="G61" s="38"/>
      <c r="H61" s="94"/>
      <c r="I61" s="38"/>
      <c r="J61" s="38"/>
      <c r="K61" s="38"/>
      <c r="L61" s="95"/>
      <c r="M61" s="96"/>
      <c r="N61" s="96"/>
      <c r="O61" s="96"/>
      <c r="P61" s="36"/>
      <c r="Q61" s="35"/>
    </row>
    <row r="62" spans="1:17" x14ac:dyDescent="0.2">
      <c r="E62" s="38"/>
      <c r="F62" s="92"/>
      <c r="G62" s="38"/>
      <c r="H62" s="94"/>
      <c r="I62" s="38"/>
      <c r="J62" s="38"/>
      <c r="K62" s="38"/>
      <c r="L62" s="95"/>
      <c r="M62" s="96"/>
      <c r="N62" s="96"/>
      <c r="O62" s="96"/>
      <c r="P62" s="36"/>
      <c r="Q62" s="35"/>
    </row>
    <row r="63" spans="1:17" x14ac:dyDescent="0.2">
      <c r="E63" s="38"/>
      <c r="F63" s="92"/>
      <c r="G63" s="38"/>
      <c r="H63" s="38"/>
      <c r="I63" s="38"/>
      <c r="J63" s="38"/>
      <c r="K63" s="95"/>
      <c r="L63" s="96"/>
      <c r="M63" s="96"/>
      <c r="N63" s="96"/>
      <c r="O63" s="95"/>
    </row>
    <row r="64" spans="1:17" x14ac:dyDescent="0.2">
      <c r="E64" s="38"/>
      <c r="F64" s="92"/>
      <c r="G64" s="38"/>
      <c r="H64" s="38"/>
      <c r="I64" s="38"/>
      <c r="J64" s="38"/>
      <c r="K64" s="95"/>
      <c r="L64" s="96"/>
      <c r="M64" s="96"/>
      <c r="N64" s="96"/>
      <c r="O64" s="95"/>
    </row>
    <row r="65" spans="6:14" x14ac:dyDescent="0.2">
      <c r="F65" s="92"/>
      <c r="N65" s="92"/>
    </row>
    <row r="67" spans="6:14" x14ac:dyDescent="0.2">
      <c r="F67" s="92"/>
    </row>
    <row r="68" spans="6:14" x14ac:dyDescent="0.2">
      <c r="F68" s="92"/>
    </row>
    <row r="69" spans="6:14" x14ac:dyDescent="0.2">
      <c r="F69" s="92"/>
    </row>
    <row r="70" spans="6:14" x14ac:dyDescent="0.2">
      <c r="F70" s="92"/>
    </row>
  </sheetData>
  <mergeCells count="5">
    <mergeCell ref="A4:B4"/>
    <mergeCell ref="F4:G4"/>
    <mergeCell ref="A2:H2"/>
    <mergeCell ref="M4:N4"/>
    <mergeCell ref="N7:O7"/>
  </mergeCells>
  <phoneticPr fontId="5" type="noConversion"/>
  <pageMargins left="0.35433070866141736" right="0.19685039370078741" top="0.74803149606299213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71" zoomScale="115" zoomScaleNormal="115" zoomScaleSheetLayoutView="100" workbookViewId="0">
      <selection activeCell="C80" sqref="C80"/>
    </sheetView>
  </sheetViews>
  <sheetFormatPr baseColWidth="10" defaultRowHeight="15.75" x14ac:dyDescent="0.25"/>
  <cols>
    <col min="1" max="1" width="14.25" style="3" customWidth="1"/>
    <col min="2" max="2" width="11" style="9"/>
    <col min="3" max="3" width="22.25" style="13" customWidth="1"/>
    <col min="4" max="4" width="8.125" style="13" customWidth="1"/>
    <col min="5" max="5" width="12.375" style="6" customWidth="1"/>
    <col min="6" max="6" width="11" style="3"/>
    <col min="7" max="7" width="13.125" bestFit="1" customWidth="1"/>
    <col min="8" max="8" width="13.375" bestFit="1" customWidth="1"/>
    <col min="9" max="9" width="7.875" style="77" customWidth="1"/>
    <col min="10" max="10" width="11" style="77" customWidth="1"/>
    <col min="11" max="11" width="9" style="77" customWidth="1"/>
    <col min="12" max="12" width="11" style="4"/>
  </cols>
  <sheetData>
    <row r="1" spans="1:12" x14ac:dyDescent="0.25">
      <c r="A1" s="103" t="s">
        <v>66</v>
      </c>
      <c r="B1" s="103"/>
      <c r="C1" s="103"/>
      <c r="D1" s="103"/>
      <c r="E1" s="103"/>
      <c r="F1" s="103"/>
    </row>
    <row r="2" spans="1:12" s="2" customFormat="1" ht="12.75" x14ac:dyDescent="0.2">
      <c r="A2" s="3"/>
      <c r="B2" s="6"/>
      <c r="D2" s="3"/>
      <c r="E2" s="6"/>
      <c r="F2" s="1"/>
      <c r="I2" s="77"/>
      <c r="J2" s="77"/>
      <c r="K2" s="77"/>
    </row>
    <row r="3" spans="1:12" s="2" customFormat="1" ht="12.75" x14ac:dyDescent="0.2">
      <c r="A3" s="102" t="s">
        <v>64</v>
      </c>
      <c r="B3" s="102"/>
      <c r="D3" s="8"/>
      <c r="E3" s="101" t="s">
        <v>18</v>
      </c>
      <c r="F3" s="101"/>
      <c r="I3" s="77"/>
      <c r="J3" s="77"/>
      <c r="K3" s="77"/>
    </row>
    <row r="4" spans="1:12" x14ac:dyDescent="0.25">
      <c r="A4" s="22">
        <v>2019</v>
      </c>
      <c r="B4" s="31">
        <v>2018</v>
      </c>
      <c r="C4" s="3" t="s">
        <v>19</v>
      </c>
      <c r="D4" s="28" t="s">
        <v>68</v>
      </c>
      <c r="E4" s="27">
        <v>2019</v>
      </c>
      <c r="F4" s="27">
        <v>2018</v>
      </c>
    </row>
    <row r="5" spans="1:12" x14ac:dyDescent="0.25">
      <c r="A5" s="6"/>
      <c r="B5" s="6"/>
      <c r="C5" s="3" t="s">
        <v>20</v>
      </c>
      <c r="F5" s="6"/>
    </row>
    <row r="6" spans="1:12" x14ac:dyDescent="0.25">
      <c r="A6" s="6"/>
      <c r="B6" s="6"/>
      <c r="C6" s="3" t="s">
        <v>21</v>
      </c>
      <c r="F6" s="6"/>
    </row>
    <row r="7" spans="1:12" x14ac:dyDescent="0.25">
      <c r="A7" s="6">
        <v>33000000</v>
      </c>
      <c r="B7" s="6">
        <v>34500000</v>
      </c>
      <c r="C7" s="2" t="s">
        <v>101</v>
      </c>
      <c r="D7" s="23">
        <v>6.7</v>
      </c>
      <c r="E7" s="6">
        <f>A7</f>
        <v>33000000</v>
      </c>
      <c r="F7" s="6">
        <f t="shared" ref="F7:F9" si="0">B7</f>
        <v>34500000</v>
      </c>
    </row>
    <row r="8" spans="1:12" x14ac:dyDescent="0.25">
      <c r="A8" s="6">
        <v>14251092.27</v>
      </c>
      <c r="B8" s="6">
        <v>16511555</v>
      </c>
      <c r="C8" s="4" t="s">
        <v>22</v>
      </c>
      <c r="D8" s="23">
        <v>7</v>
      </c>
      <c r="E8" s="6">
        <f>A8</f>
        <v>14251092.27</v>
      </c>
      <c r="F8" s="6">
        <f t="shared" si="0"/>
        <v>16511555</v>
      </c>
      <c r="L8" s="10"/>
    </row>
    <row r="9" spans="1:12" x14ac:dyDescent="0.25">
      <c r="A9" s="6">
        <v>1192374.01</v>
      </c>
      <c r="B9" s="6">
        <v>1375318</v>
      </c>
      <c r="C9" s="4" t="s">
        <v>23</v>
      </c>
      <c r="D9" s="23">
        <v>7</v>
      </c>
      <c r="E9" s="6">
        <f>A9</f>
        <v>1192374.01</v>
      </c>
      <c r="F9" s="6">
        <f t="shared" si="0"/>
        <v>1375318</v>
      </c>
      <c r="L9" s="10"/>
    </row>
    <row r="10" spans="1:12" x14ac:dyDescent="0.25">
      <c r="A10" s="6">
        <v>11295423.98</v>
      </c>
      <c r="B10" s="6">
        <v>12505249.98</v>
      </c>
      <c r="C10" s="4" t="s">
        <v>24</v>
      </c>
      <c r="D10" s="23">
        <v>7.9</v>
      </c>
      <c r="E10" s="6">
        <f>A10+15806840</f>
        <v>27102263.98</v>
      </c>
      <c r="F10" s="6">
        <v>29806297</v>
      </c>
      <c r="G10" s="6"/>
      <c r="L10" s="10"/>
    </row>
    <row r="11" spans="1:12" x14ac:dyDescent="0.25">
      <c r="A11" s="6">
        <v>291549741.56999999</v>
      </c>
      <c r="B11" s="6">
        <v>269358470.73000002</v>
      </c>
      <c r="C11" s="4" t="s">
        <v>25</v>
      </c>
      <c r="D11" s="23">
        <v>7</v>
      </c>
      <c r="E11" s="6">
        <f>A11</f>
        <v>291549741.56999999</v>
      </c>
      <c r="F11" s="6">
        <v>268707420</v>
      </c>
      <c r="G11" s="6"/>
      <c r="L11" s="10"/>
    </row>
    <row r="12" spans="1:12" x14ac:dyDescent="0.25">
      <c r="A12" s="11">
        <v>13548290</v>
      </c>
      <c r="B12" s="11">
        <v>14071294</v>
      </c>
      <c r="C12" s="2" t="s">
        <v>95</v>
      </c>
      <c r="D12" s="23">
        <v>7.1</v>
      </c>
      <c r="E12" s="11">
        <f>A12</f>
        <v>13548290</v>
      </c>
      <c r="F12" s="11">
        <f>B12</f>
        <v>14071294</v>
      </c>
      <c r="L12" s="10"/>
    </row>
    <row r="13" spans="1:12" x14ac:dyDescent="0.25">
      <c r="A13" s="6"/>
      <c r="B13" s="6"/>
      <c r="C13" s="4"/>
      <c r="D13" s="2"/>
      <c r="F13" s="6"/>
      <c r="L13" s="10"/>
    </row>
    <row r="14" spans="1:12" x14ac:dyDescent="0.25">
      <c r="A14" s="11">
        <f>SUM(A7:A12)</f>
        <v>364836921.82999998</v>
      </c>
      <c r="B14" s="11">
        <f>SUM(B7:B12)</f>
        <v>348321887.71000004</v>
      </c>
      <c r="C14" s="3" t="s">
        <v>26</v>
      </c>
      <c r="D14" s="2"/>
      <c r="E14" s="11">
        <f>SUM(E7:E12)</f>
        <v>380643761.82999998</v>
      </c>
      <c r="F14" s="11">
        <f>SUM(F7:F12)</f>
        <v>364971884</v>
      </c>
      <c r="H14" s="14"/>
      <c r="L14" s="10"/>
    </row>
    <row r="15" spans="1:12" x14ac:dyDescent="0.25">
      <c r="A15" s="6"/>
      <c r="B15" s="6"/>
      <c r="C15" s="3"/>
      <c r="D15" s="2"/>
      <c r="F15" s="6"/>
      <c r="I15" s="78"/>
      <c r="J15" s="78"/>
      <c r="K15" s="78"/>
      <c r="L15" s="10"/>
    </row>
    <row r="16" spans="1:12" x14ac:dyDescent="0.25">
      <c r="A16" s="6"/>
      <c r="B16" s="6"/>
      <c r="C16" s="3"/>
      <c r="D16" s="2"/>
      <c r="F16" s="6"/>
      <c r="L16" s="10"/>
    </row>
    <row r="17" spans="1:12" x14ac:dyDescent="0.25">
      <c r="A17" s="6"/>
      <c r="B17" s="6"/>
      <c r="C17" s="3" t="s">
        <v>27</v>
      </c>
      <c r="D17" s="2"/>
      <c r="F17" s="6"/>
      <c r="L17" s="10"/>
    </row>
    <row r="18" spans="1:12" x14ac:dyDescent="0.25">
      <c r="A18" s="6">
        <v>0</v>
      </c>
      <c r="B18" s="6">
        <v>0</v>
      </c>
      <c r="C18" s="2" t="s">
        <v>67</v>
      </c>
      <c r="D18" s="23">
        <v>8</v>
      </c>
      <c r="E18" s="6">
        <f>A18</f>
        <v>0</v>
      </c>
      <c r="F18" s="6">
        <v>0</v>
      </c>
      <c r="G18" s="6"/>
      <c r="L18" s="10"/>
    </row>
    <row r="19" spans="1:12" x14ac:dyDescent="0.25">
      <c r="A19" s="12">
        <v>24088781.25</v>
      </c>
      <c r="B19" s="12">
        <v>20900000</v>
      </c>
      <c r="C19" s="2" t="s">
        <v>28</v>
      </c>
      <c r="D19" s="23">
        <v>11</v>
      </c>
      <c r="E19" s="33">
        <f>A19-20000000-4088781+F19-3818356</f>
        <v>20152751.25</v>
      </c>
      <c r="F19" s="12">
        <v>23971107</v>
      </c>
      <c r="G19" s="17"/>
      <c r="H19" s="21">
        <v>-20000000</v>
      </c>
      <c r="I19" s="78">
        <v>-4088781</v>
      </c>
      <c r="J19" s="80">
        <v>-3818356</v>
      </c>
      <c r="K19" s="89">
        <f>+F19</f>
        <v>23971107</v>
      </c>
      <c r="L19" s="10"/>
    </row>
    <row r="20" spans="1:12" s="2" customFormat="1" ht="12.75" x14ac:dyDescent="0.2">
      <c r="A20" s="6">
        <v>52428597.390000001</v>
      </c>
      <c r="B20" s="6">
        <v>50000000</v>
      </c>
      <c r="C20" s="2" t="s">
        <v>106</v>
      </c>
      <c r="D20" s="23">
        <v>11</v>
      </c>
      <c r="E20" s="6">
        <f>A20</f>
        <v>52428597.390000001</v>
      </c>
      <c r="F20" s="6">
        <v>50000000</v>
      </c>
    </row>
    <row r="21" spans="1:12" s="2" customFormat="1" ht="12.75" x14ac:dyDescent="0.2">
      <c r="A21" s="6">
        <v>1767930</v>
      </c>
      <c r="B21" s="6">
        <v>99251</v>
      </c>
      <c r="C21" s="2" t="s">
        <v>107</v>
      </c>
      <c r="E21" s="6">
        <f>A21</f>
        <v>1767930</v>
      </c>
      <c r="F21" s="6">
        <v>99251</v>
      </c>
    </row>
    <row r="22" spans="1:12" x14ac:dyDescent="0.25">
      <c r="A22" s="86">
        <f>SUM(A18:A21)</f>
        <v>78285308.640000001</v>
      </c>
      <c r="B22" s="86">
        <f>SUM(B18:B21)</f>
        <v>70999251</v>
      </c>
      <c r="C22" s="3" t="s">
        <v>29</v>
      </c>
      <c r="D22" s="2"/>
      <c r="E22" s="86">
        <f>SUM(E18:E21)</f>
        <v>74349278.640000001</v>
      </c>
      <c r="F22" s="86">
        <f>SUM(F19:F21)</f>
        <v>74070358</v>
      </c>
      <c r="L22" s="10"/>
    </row>
    <row r="23" spans="1:12" x14ac:dyDescent="0.25">
      <c r="A23" s="6"/>
      <c r="B23" s="6"/>
      <c r="C23" s="3"/>
      <c r="D23" s="2"/>
      <c r="F23" s="6"/>
      <c r="L23" s="10"/>
    </row>
    <row r="24" spans="1:12" x14ac:dyDescent="0.25">
      <c r="A24" s="11">
        <f>A14+A22</f>
        <v>443122230.46999997</v>
      </c>
      <c r="B24" s="11">
        <f>B14+B22</f>
        <v>419321138.71000004</v>
      </c>
      <c r="C24" s="3" t="s">
        <v>30</v>
      </c>
      <c r="D24" s="2"/>
      <c r="E24" s="11">
        <f>E14+E22</f>
        <v>454993040.46999997</v>
      </c>
      <c r="F24" s="11">
        <f>F14+F22</f>
        <v>439042242</v>
      </c>
      <c r="L24" s="10"/>
    </row>
    <row r="25" spans="1:12" x14ac:dyDescent="0.25">
      <c r="A25" s="6"/>
      <c r="B25" s="6"/>
      <c r="C25" s="3"/>
      <c r="D25" s="2"/>
      <c r="F25" s="6"/>
      <c r="L25" s="10"/>
    </row>
    <row r="26" spans="1:12" x14ac:dyDescent="0.25">
      <c r="A26" s="32"/>
      <c r="B26" s="32"/>
      <c r="C26" s="37"/>
      <c r="D26" s="38"/>
      <c r="E26" s="32"/>
      <c r="F26" s="32"/>
      <c r="G26" s="39"/>
      <c r="H26" s="39"/>
      <c r="I26" s="79"/>
      <c r="J26" s="79"/>
      <c r="K26" s="79"/>
      <c r="L26" s="40"/>
    </row>
    <row r="27" spans="1:12" x14ac:dyDescent="0.25">
      <c r="A27" s="32"/>
      <c r="B27" s="32"/>
      <c r="C27" s="37" t="s">
        <v>31</v>
      </c>
      <c r="D27" s="38"/>
      <c r="E27" s="32"/>
      <c r="F27" s="32"/>
      <c r="G27" s="39"/>
      <c r="H27" s="39"/>
      <c r="I27" s="79"/>
      <c r="J27" s="79"/>
      <c r="K27" s="79"/>
      <c r="L27" s="40"/>
    </row>
    <row r="28" spans="1:12" x14ac:dyDescent="0.25">
      <c r="A28" s="32"/>
      <c r="B28" s="32"/>
      <c r="C28" s="37" t="s">
        <v>32</v>
      </c>
      <c r="D28" s="38"/>
      <c r="E28" s="32"/>
      <c r="F28" s="32"/>
      <c r="G28" s="39"/>
      <c r="H28" s="39"/>
      <c r="I28" s="79"/>
      <c r="J28" s="79"/>
      <c r="K28" s="79"/>
      <c r="L28" s="40"/>
    </row>
    <row r="29" spans="1:12" x14ac:dyDescent="0.25">
      <c r="A29" s="32">
        <v>6571496</v>
      </c>
      <c r="B29" s="32">
        <v>9237910</v>
      </c>
      <c r="C29" s="41" t="s">
        <v>33</v>
      </c>
      <c r="D29" s="42">
        <v>9.1199999999999992</v>
      </c>
      <c r="E29" s="32">
        <f>A29+579114-125000</f>
        <v>7025610</v>
      </c>
      <c r="F29" s="32">
        <v>9702108</v>
      </c>
      <c r="G29" s="32"/>
      <c r="H29" s="21">
        <v>-125000</v>
      </c>
      <c r="I29" s="21">
        <v>579114</v>
      </c>
      <c r="J29" s="79"/>
      <c r="K29" s="79"/>
      <c r="L29" s="40"/>
    </row>
    <row r="30" spans="1:12" x14ac:dyDescent="0.25">
      <c r="A30" s="44">
        <v>3694858</v>
      </c>
      <c r="B30" s="44">
        <v>651629</v>
      </c>
      <c r="C30" s="41" t="s">
        <v>34</v>
      </c>
      <c r="D30" s="42">
        <v>14</v>
      </c>
      <c r="E30" s="44">
        <f>A30</f>
        <v>3694858</v>
      </c>
      <c r="F30" s="44">
        <v>651628</v>
      </c>
      <c r="G30" s="39"/>
      <c r="H30" s="43"/>
      <c r="I30" s="79"/>
      <c r="J30" s="79"/>
      <c r="K30" s="79"/>
      <c r="L30" s="40"/>
    </row>
    <row r="31" spans="1:12" x14ac:dyDescent="0.25">
      <c r="A31" s="45">
        <f>SUM(A29:A30)</f>
        <v>10266354</v>
      </c>
      <c r="B31" s="45">
        <f>SUM(B29:B30)</f>
        <v>9889539</v>
      </c>
      <c r="C31" s="37" t="s">
        <v>35</v>
      </c>
      <c r="D31" s="38"/>
      <c r="E31" s="45">
        <f>SUM(E29:E30)</f>
        <v>10720468</v>
      </c>
      <c r="F31" s="45">
        <f>SUM(F29:F30)</f>
        <v>10353736</v>
      </c>
      <c r="G31" s="39"/>
      <c r="H31" s="39"/>
      <c r="I31" s="79"/>
      <c r="J31" s="79"/>
      <c r="K31" s="79"/>
      <c r="L31" s="40"/>
    </row>
    <row r="32" spans="1:12" x14ac:dyDescent="0.25">
      <c r="A32" s="32"/>
      <c r="B32" s="32"/>
      <c r="C32" s="46"/>
      <c r="D32" s="38"/>
      <c r="E32" s="32"/>
      <c r="F32" s="32"/>
      <c r="G32" s="39"/>
      <c r="H32" s="43"/>
      <c r="I32" s="79"/>
      <c r="J32" s="79"/>
      <c r="K32" s="79"/>
      <c r="L32" s="40"/>
    </row>
    <row r="33" spans="1:12" x14ac:dyDescent="0.25">
      <c r="A33" s="32"/>
      <c r="B33" s="32"/>
      <c r="C33" s="41"/>
      <c r="D33" s="38"/>
      <c r="E33" s="32"/>
      <c r="F33" s="32"/>
      <c r="G33" s="39"/>
      <c r="H33" s="39"/>
      <c r="I33" s="79"/>
      <c r="J33" s="79"/>
      <c r="K33" s="79"/>
      <c r="L33" s="40"/>
    </row>
    <row r="34" spans="1:12" x14ac:dyDescent="0.25">
      <c r="A34" s="32"/>
      <c r="B34" s="32"/>
      <c r="C34" s="41"/>
      <c r="D34" s="38"/>
      <c r="E34" s="32"/>
      <c r="F34" s="32"/>
      <c r="G34" s="39"/>
      <c r="H34" s="47"/>
      <c r="I34" s="79"/>
      <c r="J34" s="79"/>
      <c r="K34" s="79"/>
      <c r="L34" s="40"/>
    </row>
    <row r="35" spans="1:12" x14ac:dyDescent="0.25">
      <c r="A35" s="32">
        <v>2017</v>
      </c>
      <c r="B35" s="32">
        <v>2814</v>
      </c>
      <c r="C35" s="41" t="s">
        <v>36</v>
      </c>
      <c r="D35" s="38"/>
      <c r="E35" s="32">
        <f>A35</f>
        <v>2017</v>
      </c>
      <c r="F35" s="32">
        <f>B35</f>
        <v>2814</v>
      </c>
      <c r="G35" s="39"/>
      <c r="H35" s="47"/>
      <c r="I35" s="79"/>
      <c r="J35" s="79"/>
      <c r="K35" s="79"/>
      <c r="L35" s="40"/>
    </row>
    <row r="36" spans="1:12" x14ac:dyDescent="0.25">
      <c r="A36" s="44">
        <v>76417736</v>
      </c>
      <c r="B36" s="44">
        <v>74968563</v>
      </c>
      <c r="C36" s="41" t="s">
        <v>52</v>
      </c>
      <c r="D36" s="42">
        <v>13</v>
      </c>
      <c r="E36" s="44">
        <f>A36+37837299.79</f>
        <v>114255035.78999999</v>
      </c>
      <c r="F36" s="44">
        <v>111018400</v>
      </c>
      <c r="G36" s="39"/>
      <c r="H36" s="21">
        <v>37662773</v>
      </c>
      <c r="I36" s="79"/>
      <c r="J36" s="79"/>
      <c r="K36" s="79"/>
      <c r="L36" s="40"/>
    </row>
    <row r="37" spans="1:12" x14ac:dyDescent="0.25">
      <c r="A37" s="45">
        <f>SUM(A35:A36)</f>
        <v>76419753</v>
      </c>
      <c r="B37" s="45">
        <f>SUM(B35:B36)</f>
        <v>74971377</v>
      </c>
      <c r="C37" s="38" t="s">
        <v>93</v>
      </c>
      <c r="D37" s="38"/>
      <c r="E37" s="44">
        <f>SUM(E35:E36)</f>
        <v>114257052.78999999</v>
      </c>
      <c r="F37" s="44">
        <f>SUM(F35:F36)</f>
        <v>111021214</v>
      </c>
      <c r="G37" s="39"/>
      <c r="H37" s="47"/>
      <c r="I37" s="79"/>
      <c r="J37" s="79"/>
      <c r="K37" s="79"/>
      <c r="L37" s="40"/>
    </row>
    <row r="38" spans="1:12" x14ac:dyDescent="0.25">
      <c r="A38" s="32"/>
      <c r="B38" s="32"/>
      <c r="C38" s="46"/>
      <c r="D38" s="46"/>
      <c r="E38" s="32"/>
      <c r="F38" s="32"/>
      <c r="G38" s="39"/>
      <c r="H38" s="47"/>
      <c r="I38" s="79"/>
      <c r="J38" s="79"/>
      <c r="K38" s="79"/>
      <c r="L38" s="40"/>
    </row>
    <row r="39" spans="1:12" ht="16.5" thickBot="1" x14ac:dyDescent="0.3">
      <c r="A39" s="48">
        <f>A14+A22+A31+A37</f>
        <v>529808337.46999997</v>
      </c>
      <c r="B39" s="48">
        <f>B14+B22+B31+B37</f>
        <v>504182054.71000004</v>
      </c>
      <c r="C39" s="37" t="s">
        <v>37</v>
      </c>
      <c r="D39" s="8"/>
      <c r="E39" s="48">
        <f>E14+E22+E31+E37</f>
        <v>579970561.25999999</v>
      </c>
      <c r="F39" s="48">
        <f>F14+F22+F31+F37</f>
        <v>560417192</v>
      </c>
      <c r="G39" s="39"/>
      <c r="H39" s="47"/>
      <c r="I39" s="79"/>
      <c r="J39" s="79"/>
      <c r="K39" s="79"/>
      <c r="L39" s="40"/>
    </row>
    <row r="40" spans="1:12" x14ac:dyDescent="0.25">
      <c r="A40" s="43"/>
      <c r="B40" s="43"/>
      <c r="C40" s="43"/>
      <c r="D40" s="43"/>
      <c r="E40" s="43"/>
      <c r="F40" s="43"/>
      <c r="G40" s="39"/>
      <c r="H40" s="47"/>
      <c r="I40" s="79"/>
      <c r="J40" s="79"/>
      <c r="K40" s="79"/>
      <c r="L40" s="41"/>
    </row>
    <row r="41" spans="1:12" x14ac:dyDescent="0.25">
      <c r="A41" s="104" t="s">
        <v>66</v>
      </c>
      <c r="B41" s="104"/>
      <c r="C41" s="104"/>
      <c r="D41" s="104"/>
      <c r="E41" s="104"/>
      <c r="F41" s="104"/>
      <c r="H41" s="47"/>
      <c r="I41" s="79"/>
      <c r="J41" s="79"/>
      <c r="K41" s="79"/>
      <c r="L41" s="41"/>
    </row>
    <row r="42" spans="1:12" x14ac:dyDescent="0.25">
      <c r="A42" s="32"/>
      <c r="B42" s="32"/>
      <c r="C42" s="46"/>
      <c r="D42" s="46"/>
      <c r="E42" s="32"/>
      <c r="F42" s="32"/>
      <c r="G42" s="39"/>
      <c r="H42" s="39"/>
      <c r="I42" s="79"/>
      <c r="J42" s="79"/>
      <c r="K42" s="79"/>
      <c r="L42" s="41"/>
    </row>
    <row r="43" spans="1:12" x14ac:dyDescent="0.25">
      <c r="A43" s="101" t="s">
        <v>64</v>
      </c>
      <c r="B43" s="101"/>
      <c r="C43" s="37" t="s">
        <v>69</v>
      </c>
      <c r="D43" s="46"/>
      <c r="E43" s="101" t="s">
        <v>18</v>
      </c>
      <c r="F43" s="101"/>
      <c r="G43" s="39"/>
      <c r="H43" s="39"/>
      <c r="I43" s="79"/>
      <c r="J43" s="79"/>
      <c r="K43" s="79"/>
      <c r="L43" s="41"/>
    </row>
    <row r="44" spans="1:12" x14ac:dyDescent="0.25">
      <c r="A44" s="49">
        <v>2019</v>
      </c>
      <c r="B44" s="49">
        <v>2018</v>
      </c>
      <c r="C44" s="46"/>
      <c r="D44" s="50" t="s">
        <v>68</v>
      </c>
      <c r="E44" s="49">
        <v>2019</v>
      </c>
      <c r="F44" s="49">
        <v>2018</v>
      </c>
      <c r="G44" s="39"/>
      <c r="H44" s="39"/>
      <c r="I44" s="79"/>
      <c r="J44" s="79"/>
      <c r="K44" s="79"/>
      <c r="L44" s="41"/>
    </row>
    <row r="45" spans="1:12" x14ac:dyDescent="0.25">
      <c r="A45" s="32"/>
      <c r="B45" s="32"/>
      <c r="C45" s="37" t="s">
        <v>38</v>
      </c>
      <c r="D45" s="46"/>
      <c r="E45" s="32"/>
      <c r="F45" s="32"/>
      <c r="G45" s="39"/>
      <c r="H45" s="39"/>
      <c r="I45" s="80"/>
      <c r="J45" s="80"/>
      <c r="K45" s="80"/>
      <c r="L45" s="41"/>
    </row>
    <row r="46" spans="1:12" x14ac:dyDescent="0.25">
      <c r="A46" s="32"/>
      <c r="B46" s="32"/>
      <c r="C46" s="37" t="s">
        <v>39</v>
      </c>
      <c r="D46" s="46"/>
      <c r="E46" s="32"/>
      <c r="F46" s="32"/>
      <c r="G46" s="39"/>
      <c r="H46" s="39"/>
      <c r="I46" s="80"/>
      <c r="J46" s="80"/>
      <c r="K46" s="80"/>
      <c r="L46" s="41"/>
    </row>
    <row r="47" spans="1:12" x14ac:dyDescent="0.25">
      <c r="A47" s="32">
        <f>437312314.65+18698339</f>
        <v>456010653.64999998</v>
      </c>
      <c r="B47" s="32">
        <v>379812166.39999998</v>
      </c>
      <c r="C47" s="41" t="s">
        <v>40</v>
      </c>
      <c r="D47" s="46"/>
      <c r="E47" s="32">
        <f>A47-4088781-3818356+23971107+33463612.02</f>
        <v>505538235.66999996</v>
      </c>
      <c r="F47" s="32">
        <v>435037679</v>
      </c>
      <c r="G47" s="47"/>
      <c r="H47" s="80">
        <v>33327481</v>
      </c>
      <c r="I47" s="80">
        <v>-4088781</v>
      </c>
      <c r="J47" s="80">
        <f>J19</f>
        <v>-3818356</v>
      </c>
      <c r="K47" s="89">
        <f>+K19</f>
        <v>23971107</v>
      </c>
      <c r="L47" s="80"/>
    </row>
    <row r="48" spans="1:12" x14ac:dyDescent="0.25">
      <c r="A48" s="44">
        <v>0</v>
      </c>
      <c r="B48" s="44">
        <v>57500148.399999999</v>
      </c>
      <c r="C48" s="41" t="s">
        <v>41</v>
      </c>
      <c r="D48" s="46"/>
      <c r="E48" s="44">
        <f>A48</f>
        <v>0</v>
      </c>
      <c r="F48" s="44">
        <f>B48</f>
        <v>57500148.399999999</v>
      </c>
      <c r="G48" s="39"/>
      <c r="H48" s="43"/>
      <c r="I48" s="79"/>
      <c r="J48" s="79"/>
      <c r="K48" s="79"/>
      <c r="L48" s="40"/>
    </row>
    <row r="49" spans="1:12" x14ac:dyDescent="0.25">
      <c r="A49" s="32"/>
      <c r="B49" s="32"/>
      <c r="C49" s="41"/>
      <c r="D49" s="46"/>
      <c r="E49" s="32"/>
      <c r="F49" s="32"/>
      <c r="G49" s="43"/>
      <c r="H49" s="43"/>
      <c r="I49" s="79"/>
      <c r="J49" s="79"/>
      <c r="K49" s="79"/>
      <c r="L49" s="40"/>
    </row>
    <row r="50" spans="1:12" x14ac:dyDescent="0.25">
      <c r="A50" s="44">
        <f>SUM(A47:A48)</f>
        <v>456010653.64999998</v>
      </c>
      <c r="B50" s="44">
        <f>SUM(B47:B48)</f>
        <v>437312314.79999995</v>
      </c>
      <c r="C50" s="37" t="s">
        <v>42</v>
      </c>
      <c r="D50" s="42">
        <v>15.16</v>
      </c>
      <c r="E50" s="44">
        <f>SUM(E47:E48)</f>
        <v>505538235.66999996</v>
      </c>
      <c r="F50" s="44">
        <f>SUM(F47:F48)</f>
        <v>492537827.39999998</v>
      </c>
      <c r="G50" s="43"/>
      <c r="H50" s="43"/>
      <c r="I50" s="79"/>
      <c r="J50" s="79"/>
      <c r="K50" s="79"/>
      <c r="L50" s="40"/>
    </row>
    <row r="51" spans="1:12" x14ac:dyDescent="0.25">
      <c r="A51" s="32"/>
      <c r="B51" s="32"/>
      <c r="C51" s="37"/>
      <c r="D51" s="46"/>
      <c r="E51" s="32"/>
      <c r="F51" s="32"/>
      <c r="G51" s="39"/>
      <c r="H51" s="43"/>
      <c r="I51" s="79"/>
      <c r="J51" s="79"/>
      <c r="K51" s="79"/>
      <c r="L51" s="40"/>
    </row>
    <row r="52" spans="1:12" x14ac:dyDescent="0.25">
      <c r="A52" s="32"/>
      <c r="B52" s="32"/>
      <c r="C52" s="37" t="s">
        <v>70</v>
      </c>
      <c r="D52" s="46"/>
      <c r="E52" s="32"/>
      <c r="F52" s="32"/>
      <c r="G52" s="43"/>
      <c r="H52" s="43"/>
      <c r="I52" s="79"/>
      <c r="J52" s="79"/>
      <c r="K52" s="79"/>
      <c r="L52" s="40"/>
    </row>
    <row r="53" spans="1:12" x14ac:dyDescent="0.25">
      <c r="A53" s="32"/>
      <c r="B53" s="32"/>
      <c r="C53" s="37" t="s">
        <v>71</v>
      </c>
      <c r="D53" s="46"/>
      <c r="E53" s="32"/>
      <c r="F53" s="32"/>
      <c r="G53" s="43"/>
      <c r="H53" s="43"/>
      <c r="I53" s="79"/>
      <c r="J53" s="79"/>
      <c r="K53" s="79"/>
      <c r="L53" s="40"/>
    </row>
    <row r="54" spans="1:12" x14ac:dyDescent="0.25">
      <c r="A54" s="32">
        <v>0</v>
      </c>
      <c r="B54" s="32">
        <v>0</v>
      </c>
      <c r="C54" s="38" t="s">
        <v>59</v>
      </c>
      <c r="D54" s="42">
        <v>3</v>
      </c>
      <c r="E54" s="32">
        <v>142467</v>
      </c>
      <c r="F54" s="32">
        <v>178329</v>
      </c>
      <c r="G54" s="39"/>
      <c r="H54" s="39"/>
      <c r="I54" s="79"/>
      <c r="J54" s="79"/>
      <c r="K54" s="79"/>
      <c r="L54" s="40"/>
    </row>
    <row r="55" spans="1:12" x14ac:dyDescent="0.25">
      <c r="A55" s="44">
        <v>0</v>
      </c>
      <c r="B55" s="44">
        <v>0</v>
      </c>
      <c r="C55" s="38" t="s">
        <v>72</v>
      </c>
      <c r="D55" s="42">
        <v>4</v>
      </c>
      <c r="E55" s="44">
        <f>A55</f>
        <v>0</v>
      </c>
      <c r="F55" s="44">
        <v>0</v>
      </c>
      <c r="G55" s="39"/>
      <c r="H55" s="39"/>
      <c r="I55" s="79"/>
      <c r="J55" s="79"/>
      <c r="K55" s="79"/>
      <c r="L55" s="40"/>
    </row>
    <row r="56" spans="1:12" x14ac:dyDescent="0.25">
      <c r="A56" s="45">
        <f>SUM(A54:A55)</f>
        <v>0</v>
      </c>
      <c r="B56" s="45">
        <f>SUM(B54:B55)</f>
        <v>0</v>
      </c>
      <c r="C56" s="37" t="s">
        <v>73</v>
      </c>
      <c r="D56" s="46"/>
      <c r="E56" s="45">
        <f>SUM(E54:E55)</f>
        <v>142467</v>
      </c>
      <c r="F56" s="45">
        <f>SUM(F54:F55)</f>
        <v>178329</v>
      </c>
      <c r="G56" s="39"/>
      <c r="H56" s="80"/>
      <c r="I56" s="80"/>
      <c r="J56" s="80"/>
      <c r="K56" s="80"/>
      <c r="L56" s="80"/>
    </row>
    <row r="57" spans="1:12" x14ac:dyDescent="0.25">
      <c r="A57" s="32"/>
      <c r="B57" s="32"/>
      <c r="C57" s="37"/>
      <c r="D57" s="46"/>
      <c r="E57" s="32"/>
      <c r="F57" s="32"/>
      <c r="G57" s="39"/>
      <c r="H57" s="80"/>
      <c r="I57" s="80"/>
      <c r="J57" s="80"/>
      <c r="K57" s="80"/>
      <c r="L57" s="80"/>
    </row>
    <row r="58" spans="1:12" x14ac:dyDescent="0.25">
      <c r="A58" s="32"/>
      <c r="B58" s="32"/>
      <c r="C58" s="32" t="s">
        <v>50</v>
      </c>
      <c r="D58" s="51"/>
      <c r="E58" s="32"/>
      <c r="F58" s="32"/>
      <c r="G58" s="39"/>
      <c r="H58" s="80"/>
      <c r="I58" s="80"/>
      <c r="J58" s="80"/>
      <c r="K58" s="80"/>
      <c r="L58" s="80"/>
    </row>
    <row r="59" spans="1:12" x14ac:dyDescent="0.25">
      <c r="A59" s="32">
        <v>0</v>
      </c>
      <c r="B59" s="32">
        <v>0</v>
      </c>
      <c r="C59" s="40" t="s">
        <v>43</v>
      </c>
      <c r="D59" s="52">
        <v>8.9</v>
      </c>
      <c r="E59" s="32">
        <f>A59</f>
        <v>0</v>
      </c>
      <c r="F59" s="32">
        <v>0</v>
      </c>
      <c r="G59" s="32"/>
      <c r="H59" s="80"/>
      <c r="I59" s="80"/>
      <c r="J59" s="80"/>
      <c r="K59" s="80"/>
      <c r="L59" s="80"/>
    </row>
    <row r="60" spans="1:12" x14ac:dyDescent="0.25">
      <c r="A60" s="32">
        <v>0</v>
      </c>
      <c r="B60" s="32">
        <v>0</v>
      </c>
      <c r="C60" s="40" t="s">
        <v>61</v>
      </c>
      <c r="D60" s="52">
        <v>8.9</v>
      </c>
      <c r="E60" s="32">
        <f>A60</f>
        <v>0</v>
      </c>
      <c r="F60" s="32">
        <v>0</v>
      </c>
      <c r="G60" s="32"/>
      <c r="H60" s="80"/>
      <c r="I60" s="80"/>
      <c r="J60" s="80"/>
      <c r="K60" s="80"/>
      <c r="L60" s="80"/>
    </row>
    <row r="61" spans="1:12" x14ac:dyDescent="0.25">
      <c r="A61" s="44">
        <v>53833260</v>
      </c>
      <c r="B61" s="44">
        <v>56666600</v>
      </c>
      <c r="C61" s="40" t="s">
        <v>56</v>
      </c>
      <c r="D61" s="52">
        <v>8.9</v>
      </c>
      <c r="E61" s="44">
        <f>A61</f>
        <v>53833260</v>
      </c>
      <c r="F61" s="44">
        <f>B61</f>
        <v>56666600</v>
      </c>
      <c r="G61" s="39"/>
      <c r="H61" s="80"/>
      <c r="I61" s="80"/>
      <c r="J61" s="80"/>
      <c r="K61" s="80"/>
      <c r="L61" s="80"/>
    </row>
    <row r="62" spans="1:12" x14ac:dyDescent="0.25">
      <c r="A62" s="44">
        <f>SUM(A59:A61)</f>
        <v>53833260</v>
      </c>
      <c r="B62" s="44">
        <f>SUM(B59:B61)</f>
        <v>56666600</v>
      </c>
      <c r="C62" s="32" t="s">
        <v>58</v>
      </c>
      <c r="D62" s="51"/>
      <c r="E62" s="44">
        <f>SUM(E59:E61)</f>
        <v>53833260</v>
      </c>
      <c r="F62" s="44">
        <f>SUM(F59:F61)</f>
        <v>56666600</v>
      </c>
      <c r="G62" s="39"/>
      <c r="H62" s="80"/>
      <c r="I62" s="80"/>
      <c r="J62" s="80"/>
      <c r="K62" s="80"/>
      <c r="L62" s="80"/>
    </row>
    <row r="63" spans="1:12" x14ac:dyDescent="0.25">
      <c r="A63" s="32"/>
      <c r="B63" s="32"/>
      <c r="C63" s="40"/>
      <c r="D63" s="51"/>
      <c r="E63" s="32"/>
      <c r="F63" s="32"/>
      <c r="G63" s="39"/>
      <c r="H63" s="80"/>
      <c r="I63" s="80"/>
      <c r="J63" s="80"/>
      <c r="K63" s="80"/>
      <c r="L63" s="80"/>
    </row>
    <row r="64" spans="1:12" x14ac:dyDescent="0.25">
      <c r="A64" s="32"/>
      <c r="B64" s="32"/>
      <c r="C64" s="37" t="s">
        <v>51</v>
      </c>
      <c r="D64" s="46"/>
      <c r="E64" s="32"/>
      <c r="F64" s="32"/>
      <c r="G64" s="39"/>
      <c r="H64" s="80"/>
      <c r="I64" s="80"/>
      <c r="J64" s="80"/>
      <c r="K64" s="80"/>
      <c r="L64" s="80"/>
    </row>
    <row r="65" spans="1:12" x14ac:dyDescent="0.25">
      <c r="A65" s="32">
        <v>15109097.810000001</v>
      </c>
      <c r="B65" s="32">
        <v>4192014</v>
      </c>
      <c r="C65" s="41" t="s">
        <v>44</v>
      </c>
      <c r="D65" s="46"/>
      <c r="E65" s="32">
        <f>A65+138964-125000</f>
        <v>15123061.810000001</v>
      </c>
      <c r="F65" s="32">
        <v>4288859</v>
      </c>
      <c r="G65" s="39"/>
      <c r="H65" s="80">
        <v>-125000</v>
      </c>
      <c r="I65" s="80">
        <v>138964</v>
      </c>
      <c r="J65" s="80"/>
      <c r="K65" s="80"/>
      <c r="L65" s="80"/>
    </row>
    <row r="66" spans="1:12" x14ac:dyDescent="0.25">
      <c r="A66" s="32">
        <v>0</v>
      </c>
      <c r="B66" s="32">
        <v>0</v>
      </c>
      <c r="C66" s="41" t="s">
        <v>60</v>
      </c>
      <c r="D66" s="42">
        <v>3</v>
      </c>
      <c r="E66" s="32">
        <v>405126</v>
      </c>
      <c r="F66" s="32">
        <v>517163</v>
      </c>
      <c r="G66" s="39"/>
      <c r="H66" s="80"/>
      <c r="I66" s="80"/>
      <c r="J66" s="80"/>
      <c r="K66" s="80"/>
      <c r="L66" s="80"/>
    </row>
    <row r="67" spans="1:12" x14ac:dyDescent="0.25">
      <c r="A67" s="32">
        <f>1587596-211031</f>
        <v>1376565</v>
      </c>
      <c r="B67" s="32">
        <f>3778862-191607</f>
        <v>3587255</v>
      </c>
      <c r="C67" s="41" t="s">
        <v>45</v>
      </c>
      <c r="D67" s="42"/>
      <c r="E67" s="32">
        <f>A67+73085</f>
        <v>1449650</v>
      </c>
      <c r="F67" s="32">
        <v>3897155</v>
      </c>
      <c r="G67" s="39"/>
      <c r="H67" s="80">
        <v>73085</v>
      </c>
      <c r="I67" s="80"/>
      <c r="J67" s="80"/>
      <c r="K67" s="80"/>
      <c r="L67" s="80"/>
    </row>
    <row r="68" spans="1:12" x14ac:dyDescent="0.25">
      <c r="A68" s="32"/>
      <c r="B68" s="32"/>
      <c r="C68" s="41" t="s">
        <v>62</v>
      </c>
      <c r="D68" s="42">
        <v>8.9</v>
      </c>
      <c r="E68" s="32">
        <v>0</v>
      </c>
      <c r="F68" s="32">
        <v>0</v>
      </c>
      <c r="G68" s="32"/>
      <c r="H68" s="80"/>
      <c r="I68" s="80"/>
      <c r="J68" s="80"/>
      <c r="K68" s="80"/>
      <c r="L68" s="80"/>
    </row>
    <row r="69" spans="1:12" x14ac:dyDescent="0.25">
      <c r="A69" s="32"/>
      <c r="B69" s="32"/>
      <c r="C69" s="38" t="s">
        <v>90</v>
      </c>
      <c r="D69" s="42"/>
      <c r="E69" s="32">
        <v>0</v>
      </c>
      <c r="F69" s="32">
        <v>0</v>
      </c>
      <c r="G69" s="32"/>
      <c r="H69" s="80"/>
      <c r="I69" s="80"/>
      <c r="J69" s="80"/>
      <c r="K69" s="80"/>
      <c r="L69" s="80"/>
    </row>
    <row r="70" spans="1:12" x14ac:dyDescent="0.25">
      <c r="A70" s="44">
        <f>3267730+211031</f>
        <v>3478761</v>
      </c>
      <c r="B70" s="44">
        <v>2423871</v>
      </c>
      <c r="C70" s="41" t="s">
        <v>46</v>
      </c>
      <c r="D70" s="46"/>
      <c r="E70" s="44">
        <f>A70</f>
        <v>3478761</v>
      </c>
      <c r="F70" s="44">
        <v>2331259</v>
      </c>
      <c r="G70" s="39"/>
      <c r="H70" s="80"/>
      <c r="I70" s="80"/>
      <c r="J70" s="80"/>
      <c r="K70" s="80"/>
      <c r="L70" s="80"/>
    </row>
    <row r="71" spans="1:12" x14ac:dyDescent="0.25">
      <c r="A71" s="44">
        <f>SUM(A65:A70)</f>
        <v>19964423.810000002</v>
      </c>
      <c r="B71" s="44">
        <f>SUM(B65:B70)</f>
        <v>10203140</v>
      </c>
      <c r="C71" s="37" t="s">
        <v>57</v>
      </c>
      <c r="D71" s="53"/>
      <c r="E71" s="44">
        <f>SUM(E65:E70)</f>
        <v>20456598.810000002</v>
      </c>
      <c r="F71" s="44">
        <f>SUM(F65:F70)</f>
        <v>11034436</v>
      </c>
      <c r="G71" s="39"/>
      <c r="H71" s="80"/>
      <c r="I71" s="80"/>
      <c r="J71" s="80"/>
      <c r="K71" s="80"/>
      <c r="L71" s="80"/>
    </row>
    <row r="72" spans="1:12" x14ac:dyDescent="0.25">
      <c r="A72" s="32"/>
      <c r="B72" s="32"/>
      <c r="C72" s="41"/>
      <c r="D72" s="46"/>
      <c r="E72" s="32"/>
      <c r="F72" s="32"/>
      <c r="G72" s="39"/>
      <c r="H72" s="80"/>
      <c r="I72" s="80"/>
      <c r="J72" s="80"/>
      <c r="K72" s="80"/>
      <c r="L72" s="80"/>
    </row>
    <row r="73" spans="1:12" x14ac:dyDescent="0.25">
      <c r="A73" s="44">
        <f>A62+A71+A56</f>
        <v>73797683.810000002</v>
      </c>
      <c r="B73" s="44">
        <f>B62+B71+B56</f>
        <v>66869740</v>
      </c>
      <c r="C73" s="54" t="s">
        <v>47</v>
      </c>
      <c r="D73" s="46"/>
      <c r="E73" s="44">
        <f>E62+E71+E56</f>
        <v>74432325.810000002</v>
      </c>
      <c r="F73" s="44">
        <f>F62+F71+F56</f>
        <v>67879365</v>
      </c>
      <c r="G73" s="39"/>
      <c r="H73" s="80"/>
      <c r="I73" s="80"/>
      <c r="J73" s="80"/>
      <c r="K73" s="80"/>
      <c r="L73" s="80"/>
    </row>
    <row r="74" spans="1:12" x14ac:dyDescent="0.25">
      <c r="A74" s="32"/>
      <c r="B74" s="32"/>
      <c r="C74" s="41"/>
      <c r="D74" s="46"/>
      <c r="E74" s="32"/>
      <c r="F74" s="32"/>
      <c r="G74" s="39"/>
      <c r="H74" s="80"/>
      <c r="I74" s="80"/>
      <c r="J74" s="80"/>
      <c r="K74" s="80"/>
      <c r="L74" s="80"/>
    </row>
    <row r="75" spans="1:12" ht="16.5" thickBot="1" x14ac:dyDescent="0.3">
      <c r="A75" s="48">
        <f>A50+A73</f>
        <v>529808337.45999998</v>
      </c>
      <c r="B75" s="48">
        <f>B50+B73</f>
        <v>504182054.79999995</v>
      </c>
      <c r="C75" s="37" t="s">
        <v>48</v>
      </c>
      <c r="D75" s="8"/>
      <c r="E75" s="48">
        <f>E50+E73</f>
        <v>579970561.48000002</v>
      </c>
      <c r="F75" s="48">
        <f>F50+F73</f>
        <v>560417192.39999998</v>
      </c>
      <c r="G75" s="39"/>
      <c r="H75" s="80"/>
      <c r="I75" s="80"/>
      <c r="J75" s="80"/>
      <c r="K75" s="80"/>
      <c r="L75" s="80"/>
    </row>
    <row r="76" spans="1:12" x14ac:dyDescent="0.25">
      <c r="A76" s="32"/>
      <c r="B76" s="32"/>
      <c r="C76" s="32"/>
      <c r="D76" s="32"/>
      <c r="E76" s="32"/>
      <c r="F76" s="32"/>
      <c r="G76" s="39"/>
      <c r="H76" s="80"/>
      <c r="I76" s="80"/>
      <c r="J76" s="80"/>
      <c r="K76" s="80"/>
      <c r="L76" s="80"/>
    </row>
    <row r="77" spans="1:12" x14ac:dyDescent="0.25">
      <c r="A77" s="37"/>
      <c r="B77" s="8"/>
      <c r="C77" s="42" t="s">
        <v>108</v>
      </c>
      <c r="D77" s="46"/>
      <c r="E77" s="32"/>
      <c r="G77" s="39"/>
      <c r="H77" s="80"/>
      <c r="I77" s="80"/>
      <c r="J77" s="80"/>
      <c r="K77" s="80"/>
      <c r="L77" s="80"/>
    </row>
    <row r="78" spans="1:12" x14ac:dyDescent="0.25">
      <c r="A78" s="37"/>
      <c r="B78" s="8"/>
      <c r="C78" s="42" t="s">
        <v>82</v>
      </c>
      <c r="D78" s="46"/>
      <c r="E78" s="32"/>
      <c r="F78" s="37"/>
      <c r="G78" s="39"/>
      <c r="H78" s="80"/>
      <c r="I78" s="80"/>
      <c r="J78" s="80"/>
      <c r="K78" s="80"/>
      <c r="L78" s="80"/>
    </row>
    <row r="79" spans="1:12" x14ac:dyDescent="0.25">
      <c r="A79" s="37"/>
      <c r="B79" s="8"/>
      <c r="C79" s="46"/>
      <c r="D79" s="46"/>
      <c r="E79" s="32"/>
      <c r="F79" s="37"/>
      <c r="G79" s="39"/>
      <c r="H79" s="80"/>
      <c r="I79" s="80"/>
      <c r="J79" s="80"/>
      <c r="K79" s="80"/>
      <c r="L79" s="80"/>
    </row>
    <row r="80" spans="1:12" x14ac:dyDescent="0.25">
      <c r="A80" s="38" t="s">
        <v>83</v>
      </c>
      <c r="B80" s="8"/>
      <c r="C80" s="42" t="s">
        <v>111</v>
      </c>
      <c r="D80" s="46"/>
      <c r="E80" s="55" t="s">
        <v>84</v>
      </c>
      <c r="F80" s="37"/>
      <c r="G80" s="39"/>
      <c r="H80" s="80"/>
      <c r="I80" s="80"/>
      <c r="J80" s="80"/>
      <c r="K80" s="80"/>
      <c r="L80" s="80"/>
    </row>
    <row r="81" spans="1:12" x14ac:dyDescent="0.25">
      <c r="A81" s="38" t="s">
        <v>85</v>
      </c>
      <c r="B81" s="8"/>
      <c r="C81" s="42" t="s">
        <v>86</v>
      </c>
      <c r="D81" s="46"/>
      <c r="E81" s="55" t="s">
        <v>86</v>
      </c>
      <c r="F81" s="37"/>
      <c r="G81" s="39"/>
      <c r="H81" s="80"/>
      <c r="I81" s="80"/>
      <c r="J81" s="80"/>
      <c r="K81" s="80"/>
      <c r="L81" s="80"/>
    </row>
    <row r="82" spans="1:12" x14ac:dyDescent="0.25">
      <c r="A82" s="37"/>
      <c r="B82" s="8"/>
      <c r="C82" s="56"/>
      <c r="D82" s="46"/>
      <c r="E82" s="32"/>
      <c r="F82" s="37"/>
      <c r="G82" s="39"/>
      <c r="H82" s="80"/>
      <c r="I82" s="80"/>
      <c r="J82" s="80"/>
      <c r="K82" s="80"/>
      <c r="L82" s="80"/>
    </row>
    <row r="83" spans="1:12" x14ac:dyDescent="0.25">
      <c r="A83" s="38" t="s">
        <v>87</v>
      </c>
      <c r="B83" s="8"/>
      <c r="C83" s="42" t="s">
        <v>88</v>
      </c>
      <c r="D83" s="46"/>
      <c r="E83" s="55" t="s">
        <v>105</v>
      </c>
      <c r="F83" s="37"/>
      <c r="G83" s="39"/>
      <c r="H83" s="80"/>
      <c r="I83" s="80"/>
      <c r="J83" s="80"/>
      <c r="K83" s="80"/>
      <c r="L83" s="80"/>
    </row>
    <row r="84" spans="1:12" x14ac:dyDescent="0.25">
      <c r="A84" s="38" t="s">
        <v>86</v>
      </c>
      <c r="B84" s="8"/>
      <c r="C84" s="42" t="s">
        <v>86</v>
      </c>
      <c r="D84" s="46"/>
      <c r="E84" s="55" t="s">
        <v>86</v>
      </c>
      <c r="F84" s="37"/>
      <c r="G84" s="39"/>
      <c r="H84" s="80"/>
      <c r="I84" s="80"/>
      <c r="J84" s="80"/>
      <c r="K84" s="80"/>
      <c r="L84" s="80"/>
    </row>
    <row r="85" spans="1:12" x14ac:dyDescent="0.25">
      <c r="A85" s="38"/>
      <c r="B85" s="8"/>
      <c r="C85" s="56"/>
      <c r="D85" s="46"/>
      <c r="E85" s="32"/>
      <c r="F85" s="37"/>
      <c r="G85" s="39"/>
      <c r="H85" s="80"/>
      <c r="I85" s="80"/>
      <c r="J85" s="80"/>
      <c r="K85" s="80"/>
      <c r="L85" s="80"/>
    </row>
    <row r="86" spans="1:12" x14ac:dyDescent="0.25">
      <c r="A86" s="37"/>
      <c r="B86" s="8"/>
      <c r="C86" s="46"/>
      <c r="D86" s="46"/>
      <c r="E86" s="55" t="s">
        <v>89</v>
      </c>
      <c r="F86" s="37"/>
      <c r="G86" s="39"/>
      <c r="H86" s="80"/>
      <c r="I86" s="80"/>
      <c r="J86" s="80"/>
      <c r="K86" s="80"/>
      <c r="L86" s="80"/>
    </row>
    <row r="87" spans="1:12" x14ac:dyDescent="0.25">
      <c r="A87" s="37"/>
      <c r="B87" s="8"/>
      <c r="C87" s="46"/>
      <c r="D87" s="46"/>
      <c r="E87" s="32"/>
      <c r="F87" s="37"/>
      <c r="G87" s="39"/>
      <c r="H87" s="80"/>
      <c r="I87" s="80"/>
      <c r="J87" s="80"/>
      <c r="K87" s="80"/>
      <c r="L87" s="80"/>
    </row>
    <row r="88" spans="1:12" x14ac:dyDescent="0.25">
      <c r="A88" s="37"/>
      <c r="B88" s="8"/>
      <c r="C88" s="46"/>
      <c r="D88" s="46"/>
      <c r="E88" s="32"/>
      <c r="F88" s="37"/>
      <c r="G88" s="39"/>
      <c r="H88" s="80"/>
      <c r="I88" s="80"/>
      <c r="J88" s="80"/>
      <c r="K88" s="80"/>
      <c r="L88" s="80"/>
    </row>
    <row r="89" spans="1:12" x14ac:dyDescent="0.25">
      <c r="A89" s="37"/>
      <c r="B89" s="8"/>
      <c r="C89" s="46"/>
      <c r="D89" s="46"/>
      <c r="E89" s="32"/>
      <c r="F89" s="37"/>
      <c r="G89" s="39"/>
      <c r="H89" s="80"/>
      <c r="I89" s="80"/>
      <c r="J89" s="80"/>
      <c r="K89" s="80"/>
      <c r="L89" s="80"/>
    </row>
    <row r="90" spans="1:12" x14ac:dyDescent="0.25">
      <c r="A90" s="37"/>
      <c r="B90" s="8"/>
      <c r="C90" s="46"/>
      <c r="D90" s="46"/>
      <c r="E90" s="32"/>
      <c r="F90" s="37"/>
      <c r="G90" s="39"/>
      <c r="H90" s="80"/>
      <c r="I90" s="80"/>
      <c r="J90" s="80"/>
      <c r="K90" s="80"/>
      <c r="L90" s="80"/>
    </row>
    <row r="91" spans="1:12" x14ac:dyDescent="0.25">
      <c r="A91" s="37"/>
      <c r="B91" s="8"/>
      <c r="C91" s="46"/>
      <c r="D91" s="46"/>
      <c r="E91" s="32"/>
      <c r="F91" s="37"/>
      <c r="G91" s="39"/>
      <c r="H91" s="80"/>
      <c r="I91" s="80"/>
      <c r="J91" s="80"/>
      <c r="K91" s="80"/>
      <c r="L91" s="80"/>
    </row>
    <row r="92" spans="1:12" x14ac:dyDescent="0.25">
      <c r="A92" s="37"/>
      <c r="B92" s="8"/>
      <c r="C92" s="41"/>
      <c r="D92" s="46"/>
      <c r="E92" s="32"/>
      <c r="F92" s="37"/>
      <c r="G92" s="39"/>
      <c r="H92" s="80"/>
      <c r="I92" s="80"/>
      <c r="J92" s="80"/>
      <c r="K92" s="80"/>
      <c r="L92" s="80"/>
    </row>
    <row r="93" spans="1:12" x14ac:dyDescent="0.25">
      <c r="A93" s="37"/>
      <c r="B93" s="8"/>
      <c r="C93" s="46"/>
      <c r="D93" s="46"/>
      <c r="E93" s="32"/>
      <c r="F93" s="37"/>
      <c r="G93" s="39"/>
      <c r="H93" s="80"/>
      <c r="I93" s="80"/>
      <c r="J93" s="80"/>
      <c r="K93" s="80"/>
      <c r="L93" s="80"/>
    </row>
    <row r="94" spans="1:12" x14ac:dyDescent="0.25">
      <c r="A94" s="37"/>
      <c r="B94" s="8"/>
      <c r="C94" s="46"/>
      <c r="D94" s="46"/>
      <c r="E94" s="32"/>
      <c r="F94" s="37"/>
      <c r="G94" s="39"/>
      <c r="H94" s="80"/>
      <c r="I94" s="80"/>
      <c r="J94" s="80"/>
      <c r="K94" s="80"/>
      <c r="L94" s="80"/>
    </row>
    <row r="95" spans="1:12" x14ac:dyDescent="0.25">
      <c r="A95" s="37"/>
      <c r="B95" s="8"/>
      <c r="C95" s="46"/>
      <c r="D95" s="46"/>
      <c r="E95" s="32"/>
      <c r="F95" s="37"/>
      <c r="G95" s="39"/>
      <c r="H95" s="80"/>
      <c r="I95" s="80"/>
      <c r="J95" s="80"/>
      <c r="K95" s="80"/>
      <c r="L95" s="80"/>
    </row>
    <row r="96" spans="1:12" x14ac:dyDescent="0.25">
      <c r="A96" s="37"/>
      <c r="B96" s="8"/>
      <c r="C96" s="46"/>
      <c r="D96" s="46"/>
      <c r="E96" s="32"/>
      <c r="F96" s="37"/>
      <c r="G96" s="39"/>
      <c r="H96" s="80"/>
      <c r="I96" s="80"/>
      <c r="J96" s="80"/>
      <c r="K96" s="80"/>
      <c r="L96" s="80"/>
    </row>
    <row r="97" spans="1:12" x14ac:dyDescent="0.25">
      <c r="A97" s="37"/>
      <c r="B97" s="8"/>
      <c r="C97" s="46"/>
      <c r="D97" s="46"/>
      <c r="E97" s="32"/>
      <c r="F97" s="37"/>
      <c r="G97" s="39"/>
      <c r="H97" s="80"/>
      <c r="I97" s="80"/>
      <c r="J97" s="80"/>
      <c r="K97" s="80"/>
      <c r="L97" s="80"/>
    </row>
  </sheetData>
  <mergeCells count="6">
    <mergeCell ref="E3:F3"/>
    <mergeCell ref="A3:B3"/>
    <mergeCell ref="A43:B43"/>
    <mergeCell ref="E43:F43"/>
    <mergeCell ref="A1:F1"/>
    <mergeCell ref="A41:F41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konsdrift19</vt:lpstr>
      <vt:lpstr>konsbal19</vt:lpstr>
      <vt:lpstr>konsbal19!Utskriftsområde</vt:lpstr>
      <vt:lpstr>konsdrift19!Utskriftsområde</vt:lpstr>
    </vt:vector>
  </TitlesOfParts>
  <Company>NetPartner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Nordgård</dc:creator>
  <cp:lastModifiedBy>Vibeke Skavold</cp:lastModifiedBy>
  <cp:lastPrinted>2020-03-06T09:52:42Z</cp:lastPrinted>
  <dcterms:created xsi:type="dcterms:W3CDTF">2006-02-27T08:49:32Z</dcterms:created>
  <dcterms:modified xsi:type="dcterms:W3CDTF">2020-04-07T06:47:49Z</dcterms:modified>
</cp:coreProperties>
</file>